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Отдел финансирования социальной сферы\ОТДЕЛ\Для сайта Минфина\открытый бюджет\к отчету об исполнении бюджета 2022 года\"/>
    </mc:Choice>
  </mc:AlternateContent>
  <bookViews>
    <workbookView xWindow="0" yWindow="0" windowWidth="28770" windowHeight="9270"/>
  </bookViews>
  <sheets>
    <sheet name="2022 год" sheetId="1" r:id="rId1"/>
  </sheets>
  <externalReferences>
    <externalReference r:id="rId2"/>
  </externalReferences>
  <definedNames>
    <definedName name="_xlnm._FilterDatabase" localSheetId="0" hidden="1">'2022 год'!$B$7:$S$355</definedName>
    <definedName name="_xlnm.Print_Titles" localSheetId="0">'2022 год'!$7:$7</definedName>
    <definedName name="_xlnm.Print_Area" localSheetId="0">'2022 год'!$B$1:$S$533</definedName>
  </definedName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88" i="1" l="1"/>
  <c r="R387" i="1"/>
  <c r="R386" i="1"/>
  <c r="R385" i="1"/>
  <c r="R384" i="1"/>
  <c r="R383" i="1"/>
  <c r="R382" i="1"/>
  <c r="R381" i="1"/>
  <c r="R380" i="1"/>
  <c r="R379" i="1"/>
  <c r="R378" i="1"/>
  <c r="R377" i="1"/>
  <c r="R376" i="1"/>
  <c r="R375" i="1"/>
  <c r="R374" i="1"/>
  <c r="R373" i="1"/>
  <c r="R372" i="1"/>
  <c r="R371" i="1"/>
  <c r="R370" i="1"/>
  <c r="R369" i="1"/>
  <c r="R368" i="1"/>
  <c r="R367" i="1"/>
  <c r="R366" i="1"/>
  <c r="R365" i="1"/>
  <c r="R364" i="1"/>
  <c r="R363" i="1"/>
  <c r="R362" i="1"/>
  <c r="R361" i="1"/>
  <c r="R360" i="1"/>
  <c r="R359" i="1"/>
  <c r="R358" i="1"/>
  <c r="R357" i="1"/>
  <c r="R356" i="1"/>
  <c r="R355" i="1"/>
  <c r="R354" i="1"/>
  <c r="R349" i="1"/>
  <c r="R348" i="1"/>
  <c r="R347" i="1"/>
  <c r="R346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44" i="1"/>
  <c r="R343" i="1"/>
  <c r="R342" i="1"/>
  <c r="R341" i="1"/>
  <c r="R238" i="1"/>
  <c r="R237" i="1"/>
  <c r="R236" i="1"/>
  <c r="R235" i="1"/>
  <c r="R234" i="1"/>
  <c r="R233" i="1"/>
  <c r="R232" i="1"/>
  <c r="R231" i="1"/>
  <c r="R230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19" i="1"/>
  <c r="R18" i="1"/>
  <c r="R17" i="1"/>
  <c r="R16" i="1"/>
  <c r="R15" i="1"/>
  <c r="R14" i="1"/>
  <c r="R13" i="1"/>
  <c r="R12" i="1"/>
  <c r="R11" i="1"/>
  <c r="R10" i="1"/>
  <c r="R9" i="1"/>
  <c r="O19" i="1"/>
  <c r="O17" i="1"/>
  <c r="O14" i="1"/>
  <c r="O12" i="1"/>
  <c r="O10" i="1"/>
  <c r="R351" i="1" l="1"/>
  <c r="L335" i="1"/>
  <c r="Q332" i="1" l="1"/>
  <c r="O328" i="1"/>
  <c r="O326" i="1"/>
  <c r="O324" i="1"/>
  <c r="O322" i="1"/>
  <c r="O316" i="1"/>
  <c r="O314" i="1"/>
  <c r="R309" i="1"/>
  <c r="R308" i="1"/>
  <c r="R307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89" i="1"/>
  <c r="R287" i="1"/>
  <c r="R286" i="1"/>
  <c r="R285" i="1"/>
  <c r="R284" i="1"/>
  <c r="R283" i="1"/>
  <c r="R282" i="1"/>
  <c r="R281" i="1"/>
  <c r="R280" i="1"/>
  <c r="R279" i="1"/>
  <c r="R278" i="1"/>
  <c r="R179" i="1"/>
  <c r="O332" i="1" l="1"/>
  <c r="O154" i="1"/>
  <c r="O152" i="1"/>
  <c r="O150" i="1"/>
  <c r="O148" i="1"/>
  <c r="O146" i="1"/>
  <c r="O144" i="1"/>
  <c r="O142" i="1"/>
  <c r="O140" i="1"/>
  <c r="O136" i="1"/>
  <c r="O134" i="1"/>
  <c r="O132" i="1"/>
  <c r="O130" i="1"/>
  <c r="O128" i="1"/>
  <c r="O126" i="1"/>
  <c r="O124" i="1"/>
  <c r="O56" i="1"/>
  <c r="O53" i="1"/>
  <c r="Q394" i="1"/>
  <c r="Q395" i="1" s="1"/>
  <c r="N394" i="1"/>
  <c r="N395" i="1" s="1"/>
  <c r="M394" i="1"/>
  <c r="M395" i="1" s="1"/>
  <c r="L394" i="1"/>
  <c r="L395" i="1" s="1"/>
  <c r="R393" i="1"/>
  <c r="O393" i="1"/>
  <c r="R392" i="1"/>
  <c r="R391" i="1"/>
  <c r="O391" i="1"/>
  <c r="R390" i="1"/>
  <c r="O395" i="1" l="1"/>
  <c r="R395" i="1"/>
  <c r="O394" i="1"/>
  <c r="R394" i="1"/>
  <c r="O309" i="1" l="1"/>
  <c r="O307" i="1"/>
  <c r="M306" i="1"/>
  <c r="O304" i="1"/>
  <c r="O303" i="1"/>
  <c r="O301" i="1"/>
  <c r="O300" i="1"/>
  <c r="O298" i="1"/>
  <c r="L298" i="1"/>
  <c r="O297" i="1"/>
  <c r="O296" i="1"/>
  <c r="O295" i="1"/>
  <c r="O293" i="1"/>
  <c r="L293" i="1"/>
  <c r="O292" i="1"/>
  <c r="Q291" i="1"/>
  <c r="N291" i="1"/>
  <c r="N310" i="1" s="1"/>
  <c r="M291" i="1"/>
  <c r="L291" i="1"/>
  <c r="M290" i="1"/>
  <c r="R290" i="1" s="1"/>
  <c r="Q310" i="1" l="1"/>
  <c r="R291" i="1"/>
  <c r="O306" i="1"/>
  <c r="R306" i="1"/>
  <c r="L310" i="1"/>
  <c r="M310" i="1"/>
  <c r="O310" i="1" s="1"/>
  <c r="O291" i="1"/>
  <c r="O290" i="1"/>
  <c r="R310" i="1" l="1"/>
  <c r="L377" i="1"/>
  <c r="Q382" i="1" l="1"/>
  <c r="N382" i="1"/>
  <c r="M382" i="1"/>
  <c r="L382" i="1"/>
  <c r="N360" i="1"/>
  <c r="M360" i="1"/>
  <c r="L360" i="1"/>
  <c r="N387" i="1"/>
  <c r="M387" i="1"/>
  <c r="L387" i="1"/>
  <c r="O386" i="1"/>
  <c r="Q384" i="1"/>
  <c r="Q387" i="1" s="1"/>
  <c r="O384" i="1"/>
  <c r="O387" i="1" l="1"/>
  <c r="N378" i="1" l="1"/>
  <c r="L378" i="1"/>
  <c r="M377" i="1"/>
  <c r="M379" i="1" s="1"/>
  <c r="N377" i="1" l="1"/>
  <c r="Q378" i="1"/>
  <c r="Q377" i="1" l="1"/>
  <c r="N375" i="1" l="1"/>
  <c r="N379" i="1" s="1"/>
  <c r="L375" i="1"/>
  <c r="L379" i="1" s="1"/>
  <c r="Q366" i="1"/>
  <c r="N366" i="1"/>
  <c r="N373" i="1" s="1"/>
  <c r="M366" i="1"/>
  <c r="M373" i="1" s="1"/>
  <c r="L366" i="1"/>
  <c r="L373" i="1" s="1"/>
  <c r="N180" i="1"/>
  <c r="Q180" i="1" s="1"/>
  <c r="Q375" i="1" l="1"/>
  <c r="Q379" i="1" s="1"/>
  <c r="L230" i="1"/>
  <c r="Q363" i="1" l="1"/>
  <c r="Q373" i="1" s="1"/>
  <c r="Q362" i="1"/>
  <c r="Q359" i="1"/>
  <c r="Q360" i="1" s="1"/>
  <c r="O363" i="1" l="1"/>
  <c r="M320" i="1"/>
  <c r="N318" i="1"/>
  <c r="Q318" i="1"/>
  <c r="M318" i="1"/>
  <c r="O318" i="1" l="1"/>
  <c r="O320" i="1"/>
  <c r="Q353" i="1"/>
  <c r="Q388" i="1" s="1"/>
  <c r="M353" i="1"/>
  <c r="M388" i="1" s="1"/>
  <c r="L353" i="1"/>
  <c r="L388" i="1" s="1"/>
  <c r="Q348" i="1" l="1"/>
  <c r="Q349" i="1" s="1"/>
  <c r="N348" i="1"/>
  <c r="N349" i="1" s="1"/>
  <c r="M348" i="1"/>
  <c r="M349" i="1" s="1"/>
  <c r="L348" i="1"/>
  <c r="L349" i="1" s="1"/>
  <c r="M343" i="1"/>
  <c r="M344" i="1" s="1"/>
  <c r="M138" i="1"/>
  <c r="N138" i="1" s="1"/>
  <c r="O138" i="1" s="1"/>
  <c r="Q155" i="1" l="1"/>
  <c r="Q156" i="1" s="1"/>
  <c r="N155" i="1"/>
  <c r="M155" i="1"/>
  <c r="M156" i="1" s="1"/>
  <c r="L155" i="1"/>
  <c r="L156" i="1" s="1"/>
  <c r="M137" i="1"/>
  <c r="N156" i="1" l="1"/>
  <c r="O156" i="1" s="1"/>
  <c r="O155" i="1"/>
  <c r="R352" i="1"/>
  <c r="N352" i="1"/>
  <c r="N353" i="1" s="1"/>
  <c r="N342" i="1"/>
  <c r="L342" i="1"/>
  <c r="L343" i="1" s="1"/>
  <c r="L344" i="1" s="1"/>
  <c r="M338" i="1"/>
  <c r="N388" i="1" l="1"/>
  <c r="O388" i="1" s="1"/>
  <c r="O353" i="1"/>
  <c r="Q342" i="1"/>
  <c r="N343" i="1"/>
  <c r="N344" i="1" s="1"/>
  <c r="R353" i="1"/>
  <c r="O342" i="1"/>
  <c r="O343" i="1" s="1"/>
  <c r="O344" i="1" s="1"/>
  <c r="Q343" i="1" l="1"/>
  <c r="Q344" i="1" s="1"/>
  <c r="N337" i="1"/>
  <c r="L337" i="1"/>
  <c r="L338" i="1" s="1"/>
  <c r="Q337" i="1" l="1"/>
  <c r="N338" i="1"/>
  <c r="Q338" i="1" l="1"/>
  <c r="Q335" i="1" l="1"/>
  <c r="Q339" i="1" s="1"/>
  <c r="N335" i="1"/>
  <c r="N339" i="1" s="1"/>
  <c r="M335" i="1"/>
  <c r="M339" i="1" s="1"/>
  <c r="L339" i="1"/>
  <c r="O335" i="1" l="1"/>
  <c r="Q288" i="1" l="1"/>
  <c r="P288" i="1"/>
  <c r="N288" i="1"/>
  <c r="N311" i="1" s="1"/>
  <c r="M288" i="1"/>
  <c r="M311" i="1" s="1"/>
  <c r="L288" i="1"/>
  <c r="L311" i="1" s="1"/>
  <c r="Q311" i="1" l="1"/>
  <c r="R311" i="1" s="1"/>
  <c r="R288" i="1"/>
  <c r="O311" i="1"/>
  <c r="Q162" i="1"/>
  <c r="M162" i="1"/>
  <c r="R161" i="1"/>
  <c r="N161" i="1"/>
  <c r="I161" i="1"/>
  <c r="H161" i="1"/>
  <c r="G161" i="1"/>
  <c r="F161" i="1"/>
  <c r="E161" i="1"/>
  <c r="R160" i="1"/>
  <c r="R159" i="1"/>
  <c r="N159" i="1"/>
  <c r="L159" i="1"/>
  <c r="L162" i="1" s="1"/>
  <c r="R158" i="1"/>
  <c r="N162" i="1" l="1"/>
  <c r="M275" i="1" l="1"/>
  <c r="L275" i="1"/>
  <c r="N274" i="1"/>
  <c r="Q274" i="1" s="1"/>
  <c r="Q275" i="1" s="1"/>
  <c r="N275" i="1" l="1"/>
  <c r="N271" i="1" l="1"/>
  <c r="Q271" i="1" s="1"/>
  <c r="Q237" i="1" l="1"/>
  <c r="N237" i="1"/>
  <c r="M237" i="1"/>
  <c r="L237" i="1"/>
  <c r="Q165" i="1"/>
  <c r="N165" i="1"/>
  <c r="M165" i="1"/>
  <c r="L165" i="1"/>
  <c r="R163" i="1"/>
  <c r="M267" i="1"/>
  <c r="M272" i="1" s="1"/>
  <c r="M276" i="1" s="1"/>
  <c r="L267" i="1"/>
  <c r="L272" i="1" s="1"/>
  <c r="L276" i="1" s="1"/>
  <c r="N265" i="1"/>
  <c r="Q265" i="1" s="1"/>
  <c r="R264" i="1"/>
  <c r="N263" i="1"/>
  <c r="Q263" i="1" s="1"/>
  <c r="R262" i="1"/>
  <c r="N261" i="1"/>
  <c r="Q261" i="1" s="1"/>
  <c r="R260" i="1"/>
  <c r="N259" i="1"/>
  <c r="Q259" i="1" s="1"/>
  <c r="R258" i="1"/>
  <c r="N257" i="1"/>
  <c r="Q257" i="1" s="1"/>
  <c r="R256" i="1"/>
  <c r="N255" i="1"/>
  <c r="Q255" i="1" s="1"/>
  <c r="R254" i="1"/>
  <c r="N253" i="1"/>
  <c r="Q253" i="1" s="1"/>
  <c r="R252" i="1"/>
  <c r="N251" i="1"/>
  <c r="Q251" i="1" s="1"/>
  <c r="R250" i="1"/>
  <c r="N249" i="1"/>
  <c r="R248" i="1"/>
  <c r="N247" i="1"/>
  <c r="Q247" i="1" s="1"/>
  <c r="L247" i="1"/>
  <c r="R246" i="1"/>
  <c r="R244" i="1"/>
  <c r="R242" i="1"/>
  <c r="O249" i="1"/>
  <c r="O251" i="1" s="1"/>
  <c r="O253" i="1" s="1"/>
  <c r="O255" i="1" s="1"/>
  <c r="R240" i="1"/>
  <c r="Q249" i="1" l="1"/>
  <c r="N267" i="1"/>
  <c r="N272" i="1" s="1"/>
  <c r="N276" i="1" s="1"/>
  <c r="Q267" i="1" l="1"/>
  <c r="Q272" i="1" s="1"/>
  <c r="Q276" i="1" s="1"/>
  <c r="L238" i="1" l="1"/>
  <c r="M229" i="1"/>
  <c r="Q229" i="1" s="1"/>
  <c r="R229" i="1" s="1"/>
  <c r="R228" i="1"/>
  <c r="Q227" i="1"/>
  <c r="R227" i="1" s="1"/>
  <c r="N227" i="1"/>
  <c r="O227" i="1" s="1"/>
  <c r="R226" i="1"/>
  <c r="R225" i="1"/>
  <c r="R224" i="1"/>
  <c r="M223" i="1"/>
  <c r="N223" i="1" s="1"/>
  <c r="O223" i="1" s="1"/>
  <c r="M222" i="1"/>
  <c r="R222" i="1" s="1"/>
  <c r="M221" i="1"/>
  <c r="N221" i="1" s="1"/>
  <c r="O221" i="1" s="1"/>
  <c r="M220" i="1"/>
  <c r="R220" i="1" s="1"/>
  <c r="Q219" i="1"/>
  <c r="R219" i="1" s="1"/>
  <c r="N219" i="1"/>
  <c r="O219" i="1" s="1"/>
  <c r="R218" i="1"/>
  <c r="Q217" i="1"/>
  <c r="R217" i="1" s="1"/>
  <c r="N217" i="1"/>
  <c r="O217" i="1" s="1"/>
  <c r="M216" i="1"/>
  <c r="R216" i="1" s="1"/>
  <c r="Q215" i="1"/>
  <c r="R215" i="1" s="1"/>
  <c r="N215" i="1"/>
  <c r="O215" i="1" s="1"/>
  <c r="M214" i="1"/>
  <c r="R214" i="1" s="1"/>
  <c r="Q213" i="1"/>
  <c r="R213" i="1" s="1"/>
  <c r="N213" i="1"/>
  <c r="O213" i="1" s="1"/>
  <c r="M212" i="1"/>
  <c r="R212" i="1" s="1"/>
  <c r="M211" i="1"/>
  <c r="N211" i="1" s="1"/>
  <c r="O211" i="1" s="1"/>
  <c r="M210" i="1"/>
  <c r="R210" i="1" s="1"/>
  <c r="Q209" i="1"/>
  <c r="R209" i="1" s="1"/>
  <c r="N209" i="1"/>
  <c r="O209" i="1" s="1"/>
  <c r="R208" i="1"/>
  <c r="Q207" i="1"/>
  <c r="R207" i="1" s="1"/>
  <c r="N207" i="1"/>
  <c r="O207" i="1" s="1"/>
  <c r="M206" i="1"/>
  <c r="R206" i="1" s="1"/>
  <c r="M205" i="1"/>
  <c r="N205" i="1" s="1"/>
  <c r="O205" i="1" s="1"/>
  <c r="M204" i="1"/>
  <c r="R204" i="1" s="1"/>
  <c r="R203" i="1"/>
  <c r="R202" i="1"/>
  <c r="Q201" i="1"/>
  <c r="R201" i="1" s="1"/>
  <c r="N201" i="1"/>
  <c r="O201" i="1" s="1"/>
  <c r="M200" i="1"/>
  <c r="R200" i="1" s="1"/>
  <c r="Q199" i="1"/>
  <c r="R199" i="1" s="1"/>
  <c r="N199" i="1"/>
  <c r="O199" i="1" s="1"/>
  <c r="M198" i="1"/>
  <c r="R198" i="1" s="1"/>
  <c r="M197" i="1"/>
  <c r="Q197" i="1" s="1"/>
  <c r="R197" i="1" s="1"/>
  <c r="M196" i="1"/>
  <c r="R196" i="1" s="1"/>
  <c r="Q195" i="1"/>
  <c r="R195" i="1" s="1"/>
  <c r="N195" i="1"/>
  <c r="O195" i="1" s="1"/>
  <c r="R194" i="1"/>
  <c r="M193" i="1"/>
  <c r="M192" i="1"/>
  <c r="R192" i="1" s="1"/>
  <c r="R191" i="1"/>
  <c r="R190" i="1"/>
  <c r="R183" i="1"/>
  <c r="R182" i="1"/>
  <c r="R181" i="1"/>
  <c r="R180" i="1"/>
  <c r="O180" i="1"/>
  <c r="R178" i="1"/>
  <c r="R177" i="1"/>
  <c r="O177" i="1"/>
  <c r="R176" i="1"/>
  <c r="R175" i="1"/>
  <c r="O175" i="1"/>
  <c r="R174" i="1"/>
  <c r="N173" i="1"/>
  <c r="Q173" i="1" s="1"/>
  <c r="R173" i="1" s="1"/>
  <c r="Q172" i="1"/>
  <c r="R172" i="1" s="1"/>
  <c r="R171" i="1"/>
  <c r="O171" i="1"/>
  <c r="R170" i="1"/>
  <c r="R169" i="1"/>
  <c r="O169" i="1"/>
  <c r="R168" i="1"/>
  <c r="Q167" i="1"/>
  <c r="N167" i="1"/>
  <c r="R166" i="1"/>
  <c r="Q120" i="1"/>
  <c r="N120" i="1"/>
  <c r="M120" i="1"/>
  <c r="L120" i="1"/>
  <c r="O120" i="1" l="1"/>
  <c r="M230" i="1"/>
  <c r="M238" i="1" s="1"/>
  <c r="N193" i="1"/>
  <c r="O193" i="1" s="1"/>
  <c r="O167" i="1"/>
  <c r="Q211" i="1"/>
  <c r="R211" i="1" s="1"/>
  <c r="R167" i="1"/>
  <c r="N197" i="1"/>
  <c r="O197" i="1" s="1"/>
  <c r="Q223" i="1"/>
  <c r="R223" i="1" s="1"/>
  <c r="O173" i="1"/>
  <c r="Q221" i="1"/>
  <c r="R221" i="1" s="1"/>
  <c r="Q193" i="1"/>
  <c r="R193" i="1" s="1"/>
  <c r="Q205" i="1"/>
  <c r="R205" i="1" s="1"/>
  <c r="N229" i="1"/>
  <c r="O229" i="1" s="1"/>
  <c r="Q86" i="1"/>
  <c r="N86" i="1"/>
  <c r="Q84" i="1"/>
  <c r="N84" i="1"/>
  <c r="M83" i="1"/>
  <c r="Q83" i="1" s="1"/>
  <c r="L83" i="1"/>
  <c r="L87" i="1" s="1"/>
  <c r="Q81" i="1"/>
  <c r="N81" i="1"/>
  <c r="M80" i="1"/>
  <c r="N80" i="1" s="1"/>
  <c r="N230" i="1" l="1"/>
  <c r="Q230" i="1"/>
  <c r="Q238" i="1" s="1"/>
  <c r="Q80" i="1"/>
  <c r="M87" i="1"/>
  <c r="N83" i="1"/>
  <c r="Q87" i="1" l="1"/>
  <c r="N238" i="1"/>
  <c r="O230" i="1"/>
  <c r="N87" i="1"/>
  <c r="O87" i="1" s="1"/>
  <c r="N110" i="1"/>
  <c r="O110" i="1" s="1"/>
  <c r="M108" i="1"/>
  <c r="L108" i="1"/>
  <c r="N106" i="1"/>
  <c r="L106" i="1"/>
  <c r="N104" i="1"/>
  <c r="O104" i="1" s="1"/>
  <c r="N102" i="1"/>
  <c r="O102" i="1" s="1"/>
  <c r="M100" i="1"/>
  <c r="N100" i="1" s="1"/>
  <c r="O100" i="1" s="1"/>
  <c r="N98" i="1"/>
  <c r="O98" i="1" s="1"/>
  <c r="L98" i="1"/>
  <c r="N97" i="1"/>
  <c r="O97" i="1" s="1"/>
  <c r="N96" i="1"/>
  <c r="O96" i="1" s="1"/>
  <c r="L96" i="1"/>
  <c r="M94" i="1"/>
  <c r="N94" i="1" s="1"/>
  <c r="O94" i="1" s="1"/>
  <c r="M93" i="1"/>
  <c r="N93" i="1" s="1"/>
  <c r="O93" i="1" s="1"/>
  <c r="N92" i="1"/>
  <c r="N91" i="1"/>
  <c r="Q106" i="1" l="1"/>
  <c r="O106" i="1"/>
  <c r="Q91" i="1"/>
  <c r="O91" i="1"/>
  <c r="Q92" i="1"/>
  <c r="O92" i="1"/>
  <c r="M111" i="1"/>
  <c r="M121" i="1" s="1"/>
  <c r="L111" i="1"/>
  <c r="L121" i="1" s="1"/>
  <c r="Q102" i="1"/>
  <c r="Q97" i="1"/>
  <c r="Q93" i="1"/>
  <c r="Q94" i="1"/>
  <c r="Q104" i="1"/>
  <c r="Q96" i="1"/>
  <c r="Q100" i="1"/>
  <c r="Q98" i="1"/>
  <c r="N108" i="1"/>
  <c r="Q110" i="1"/>
  <c r="N111" i="1" l="1"/>
  <c r="Q111" i="1" s="1"/>
  <c r="O108" i="1"/>
  <c r="Q108" i="1"/>
  <c r="N121" i="1" l="1"/>
  <c r="O121" i="1" s="1"/>
  <c r="O111" i="1"/>
  <c r="Q121" i="1"/>
  <c r="N24" i="1" l="1"/>
  <c r="N10" i="1"/>
  <c r="Q77" i="1"/>
  <c r="Q88" i="1" s="1"/>
  <c r="N77" i="1"/>
  <c r="N88" i="1" s="1"/>
  <c r="O76" i="1"/>
  <c r="O74" i="1"/>
  <c r="O72" i="1"/>
  <c r="M68" i="1"/>
  <c r="O68" i="1" s="1"/>
  <c r="M66" i="1"/>
  <c r="M64" i="1"/>
  <c r="M62" i="1"/>
  <c r="M60" i="1"/>
  <c r="M58" i="1"/>
  <c r="M55" i="1"/>
  <c r="L53" i="1"/>
  <c r="L77" i="1" s="1"/>
  <c r="L88" i="1" s="1"/>
  <c r="O66" i="1" l="1"/>
  <c r="O58" i="1"/>
  <c r="O64" i="1"/>
  <c r="O55" i="1"/>
  <c r="O60" i="1"/>
  <c r="O62" i="1"/>
  <c r="M77" i="1"/>
  <c r="M88" i="1" s="1"/>
  <c r="O88" i="1" s="1"/>
  <c r="L49" i="1" l="1"/>
  <c r="M49" i="1"/>
  <c r="Q49" i="1"/>
  <c r="N48" i="1"/>
  <c r="M47" i="1"/>
  <c r="N46" i="1"/>
  <c r="M45" i="1"/>
  <c r="N44" i="1"/>
  <c r="M43" i="1"/>
  <c r="N42" i="1"/>
  <c r="M41" i="1"/>
  <c r="N40" i="1"/>
  <c r="M39" i="1"/>
  <c r="N38" i="1"/>
  <c r="M37" i="1"/>
  <c r="N36" i="1"/>
  <c r="M35" i="1"/>
  <c r="N34" i="1"/>
  <c r="M33" i="1"/>
  <c r="N32" i="1"/>
  <c r="M31" i="1"/>
  <c r="N30" i="1"/>
  <c r="M29" i="1"/>
  <c r="N28" i="1"/>
  <c r="M27" i="1"/>
  <c r="N26" i="1"/>
  <c r="M25" i="1"/>
  <c r="M23" i="1"/>
  <c r="M21" i="1"/>
  <c r="N49" i="1" l="1"/>
  <c r="L20" i="1" l="1"/>
  <c r="L50" i="1" s="1"/>
  <c r="N14" i="1" l="1"/>
  <c r="Q14" i="1" s="1"/>
  <c r="N17" i="1"/>
  <c r="N19" i="1"/>
  <c r="M20" i="1"/>
  <c r="M50" i="1" s="1"/>
  <c r="Q10" i="1" l="1"/>
  <c r="Q17" i="1"/>
  <c r="N20" i="1"/>
  <c r="N50" i="1" s="1"/>
  <c r="Q19" i="1"/>
  <c r="Q20" i="1" l="1"/>
  <c r="Q50" i="1" s="1"/>
</calcChain>
</file>

<file path=xl/sharedStrings.xml><?xml version="1.0" encoding="utf-8"?>
<sst xmlns="http://schemas.openxmlformats.org/spreadsheetml/2006/main" count="2691" uniqueCount="674">
  <si>
    <t>х</t>
  </si>
  <si>
    <t>Итого по ведомству</t>
  </si>
  <si>
    <t>Итого по ГП</t>
  </si>
  <si>
    <t>тыс. рублей</t>
  </si>
  <si>
    <t>объем финансового обеспечения</t>
  </si>
  <si>
    <t>611</t>
  </si>
  <si>
    <t>0110181001</t>
  </si>
  <si>
    <t>05</t>
  </si>
  <si>
    <t>04</t>
  </si>
  <si>
    <t>905</t>
  </si>
  <si>
    <t>КБК</t>
  </si>
  <si>
    <t>Единица</t>
  </si>
  <si>
    <t>Машино-часы работы</t>
  </si>
  <si>
    <t>код услуги (работы)</t>
  </si>
  <si>
    <t>Организация и осуществление транспортного обслуживания должностных лиц, государственных органов и государственных учреждений</t>
  </si>
  <si>
    <t>1.5</t>
  </si>
  <si>
    <t>процент</t>
  </si>
  <si>
    <t>Бесперебойное тепло-, водо-, энергообеспечение</t>
  </si>
  <si>
    <t>Тысяча квадратных метров</t>
  </si>
  <si>
    <t>эксплуатируемая площадь административных зданий</t>
  </si>
  <si>
    <t>Содержание (эксплуатация) имущества, находящегося в государственной (муниципальной) собственности</t>
  </si>
  <si>
    <t>1.4</t>
  </si>
  <si>
    <t>Количество оказанных консультаций</t>
  </si>
  <si>
    <t>Предоставление консультационных услуг в области сельского хозяйства</t>
  </si>
  <si>
    <t>1.3</t>
  </si>
  <si>
    <t>Условная единица</t>
  </si>
  <si>
    <t>Поголовье племенных животных</t>
  </si>
  <si>
    <t>Обеспечение сохранности племенного поголовья</t>
  </si>
  <si>
    <t>1.2</t>
  </si>
  <si>
    <t>x</t>
  </si>
  <si>
    <t>Комплексная оценка племенных и продуктивных качеств сельскохозяйственных животных</t>
  </si>
  <si>
    <t>1.1</t>
  </si>
  <si>
    <t>1</t>
  </si>
  <si>
    <t>пояснение превышения допустимого (возможного) отклонения/
причины отклонения (по расходам)</t>
  </si>
  <si>
    <t>процент исполнения</t>
  </si>
  <si>
    <t>исполнено</t>
  </si>
  <si>
    <t>причины отклонения</t>
  </si>
  <si>
    <t>уточненный</t>
  </si>
  <si>
    <t>Исполнено за 2022 год (учреждения)</t>
  </si>
  <si>
    <t>Исполнено за 2022 год (ГРБС)</t>
  </si>
  <si>
    <t>План на 2022 год</t>
  </si>
  <si>
    <t xml:space="preserve">Единица измерения </t>
  </si>
  <si>
    <t>Наименование показателя</t>
  </si>
  <si>
    <t>Коды</t>
  </si>
  <si>
    <t>Наименование государственной услуги (работы)</t>
  </si>
  <si>
    <t>№ п/п</t>
  </si>
  <si>
    <t>0301</t>
  </si>
  <si>
    <t>0300</t>
  </si>
  <si>
    <t>0302</t>
  </si>
  <si>
    <t>0075</t>
  </si>
  <si>
    <t>0167</t>
  </si>
  <si>
    <t xml:space="preserve">Проведение плановых диагностических мероприятий на особо опасные болезни животных (птиц) и болезни общие для человека и животных (птиц) </t>
  </si>
  <si>
    <t>0247</t>
  </si>
  <si>
    <t>проведение диагностических мероприятий</t>
  </si>
  <si>
    <t>голов</t>
  </si>
  <si>
    <t>904</t>
  </si>
  <si>
    <t>0170181001</t>
  </si>
  <si>
    <t>0262</t>
  </si>
  <si>
    <t>проведение отбора проб</t>
  </si>
  <si>
    <t>штука</t>
  </si>
  <si>
    <t>Проведение плановых диагностических мероприятий на особо опасные болезни животных (птиц) и болезни общие для человека и животных (птиц)</t>
  </si>
  <si>
    <t>0261</t>
  </si>
  <si>
    <t>оформление документации</t>
  </si>
  <si>
    <t xml:space="preserve">Проведение плановых лабораторных исследований на особо опасные болезни животных (птиц) и болезни общие для человека и животных (птиц), включая отбор проб и их транспортировку </t>
  </si>
  <si>
    <t>0252</t>
  </si>
  <si>
    <t>0253</t>
  </si>
  <si>
    <t>проведение лабораторных исследований</t>
  </si>
  <si>
    <t>единица</t>
  </si>
  <si>
    <t>1.6</t>
  </si>
  <si>
    <t>Проведение плановых профилактических вакцинаций  животных (птиц) против особо опасных болезней животных и болезней общие для человека и животных (птиц)</t>
  </si>
  <si>
    <t>0254</t>
  </si>
  <si>
    <t>1.7</t>
  </si>
  <si>
    <t>0255</t>
  </si>
  <si>
    <t>проведение вакцинации</t>
  </si>
  <si>
    <t>1.8</t>
  </si>
  <si>
    <t>Проведение вынужденных профилактических вакцинаций  животных (птиц) в случаях возникновения или угрозы возникновения особо опасных болезней животных и болезней общих для человека и животных (птиц)</t>
  </si>
  <si>
    <t>0256</t>
  </si>
  <si>
    <t>1.9</t>
  </si>
  <si>
    <t>0257</t>
  </si>
  <si>
    <t>1.10</t>
  </si>
  <si>
    <t>Проведение ветеринарных организационных работ, включая учет и ответственное хранение лекарственных средств и препаратов для ветеринарного применения</t>
  </si>
  <si>
    <t>0258</t>
  </si>
  <si>
    <t>1.11</t>
  </si>
  <si>
    <t>Учет, хранение ветеринарных сопроводительных документов (оформление документации)</t>
  </si>
  <si>
    <t>0264</t>
  </si>
  <si>
    <t>1.12</t>
  </si>
  <si>
    <t xml:space="preserve">Оформление и выдача ветеринарных сопроводительных документов </t>
  </si>
  <si>
    <t>0263</t>
  </si>
  <si>
    <t>1.13</t>
  </si>
  <si>
    <t>Проведение ветеринарно-санитарной экспертизы сырья и продукции животного происхождения на трихинеллез</t>
  </si>
  <si>
    <t>0259</t>
  </si>
  <si>
    <t>1.14</t>
  </si>
  <si>
    <t xml:space="preserve">Проведение ветеринарно-санитарной экспертизы сырья и продукции животного происхождения на трихинеллез </t>
  </si>
  <si>
    <t>0260</t>
  </si>
  <si>
    <t>Государственная программа Республики Алтай "Развитие экономического потенциала и предпринимательства"</t>
  </si>
  <si>
    <t>Оказание имущественной поддержки субъектам малого и среднего предпринимательства в виде передачи в пользование государственного имущества на льготных условиях</t>
  </si>
  <si>
    <t>0270</t>
  </si>
  <si>
    <t xml:space="preserve"> Количество субъектов МСП получивших услугу</t>
  </si>
  <si>
    <t>Ед.</t>
  </si>
  <si>
    <t>928</t>
  </si>
  <si>
    <t>12</t>
  </si>
  <si>
    <t>0410381001</t>
  </si>
  <si>
    <t xml:space="preserve"> Предоставление услуг по организации и содействию в проведении семинаров, совещаний, «круглых столов», выставочных мероприятий и иных мероприятий</t>
  </si>
  <si>
    <t>0280</t>
  </si>
  <si>
    <t>Количество СМСП получивших услугу и граждан планирующих заниматься предпринимательской деятельностью</t>
  </si>
  <si>
    <t>ед.</t>
  </si>
  <si>
    <t>Проведение сверхплановых мероприятий  по центрам, мероприятия по содействию с общественными организациями предпринимателей</t>
  </si>
  <si>
    <t>0410181021</t>
  </si>
  <si>
    <t>Разработка и реализация мероприятий по обучению сотрудников субъектов малого и среднего предпринимательства новым компетенциям в сфере ведения предпринимательской деятельности</t>
  </si>
  <si>
    <t>0281</t>
  </si>
  <si>
    <t xml:space="preserve"> Количество сотрудников СМСП, граждан планирующих заниматься предпринимательской деятельностью получивших сертификаты, свидетельства, дипломы, и др.</t>
  </si>
  <si>
    <t xml:space="preserve"> Исполнение мероприятий в срок, представленный паспортом Регионального проекта в рамках реализации Национального проекта «Малое и среднее предпринимательство и поддержка индивидуальной предпринимательской инициативы»</t>
  </si>
  <si>
    <t>0243</t>
  </si>
  <si>
    <t>Комплексное сопровождение инвестиционных проектов на территории Республики Алтай по принципу "одного окна"</t>
  </si>
  <si>
    <t>0244</t>
  </si>
  <si>
    <t>Количество юридических лиц, индивидуальных предпринимателей,  физических лиц обратившихся за услугой</t>
  </si>
  <si>
    <t xml:space="preserve">Превышение связи с обращением  юридических лиц, физических лиц за сопровождением инвестиционных проектов, реализуемых и планируемых к реализации на территории РА </t>
  </si>
  <si>
    <t xml:space="preserve"> Организационное и методическое сопровождение ведения реестра</t>
  </si>
  <si>
    <t>0241</t>
  </si>
  <si>
    <t xml:space="preserve"> Количество реестров</t>
  </si>
  <si>
    <t xml:space="preserve"> Административное обеспечение деятельности организаций</t>
  </si>
  <si>
    <t>0245</t>
  </si>
  <si>
    <t xml:space="preserve"> количество мероприятий</t>
  </si>
  <si>
    <t>Содержание (эксплуатация) имущества и управление объектами инфраструктуры и иными объектами, находящимися в государственной собственности Республики Алтай</t>
  </si>
  <si>
    <t>0242</t>
  </si>
  <si>
    <t xml:space="preserve"> Эксплуатируемая площадь зданий и сооружений</t>
  </si>
  <si>
    <t>кв.м.</t>
  </si>
  <si>
    <t>Определение кадастровой стоимости объектов недвижимости в рамках государственной кадастровой оценки</t>
  </si>
  <si>
    <t>0199</t>
  </si>
  <si>
    <t xml:space="preserve"> Количество объектов недвижимости</t>
  </si>
  <si>
    <t>штук</t>
  </si>
  <si>
    <t>01</t>
  </si>
  <si>
    <t>13</t>
  </si>
  <si>
    <t xml:space="preserve">0460181001
</t>
  </si>
  <si>
    <t>Сбор, обработка, систематизация и накопление информации, необходимой для определения кадастровой стоимости, в том числе о данных рынка недвижимости, а также информации, использованной при проведении государственной кадастровой оценки и формируемой в результате ее проведения</t>
  </si>
  <si>
    <t>0214</t>
  </si>
  <si>
    <t xml:space="preserve"> Количество отчетов</t>
  </si>
  <si>
    <t>Сбор, обработка информации, полученной в государственных и муниципальных органах, в том числе в федеральном органе, осуществляющем ведение государственного реестра недвижимости, от юридических и физических лиц, проведение мероприятий по обследованию объектов в целях определения вида фактического использования зданий (строений, сооружений) и нежилых помещений</t>
  </si>
  <si>
    <t>0215</t>
  </si>
  <si>
    <t>Количество актов обследования по результатам работы</t>
  </si>
  <si>
    <t xml:space="preserve"> Установление кадастровой стоимости объекта недвижимости в размере его рыночной стоимости</t>
  </si>
  <si>
    <t>0282</t>
  </si>
  <si>
    <t>Количество рассмотренных заявлений об установлении кадастровой стоимости объектов недвижимости в размере их рыночной стоимости</t>
  </si>
  <si>
    <t>Предоставление социального обслуживания в стационарной форме</t>
  </si>
  <si>
    <t>АЭ20</t>
  </si>
  <si>
    <t>Численность граждан, получивших социальные услуги</t>
  </si>
  <si>
    <t>человек</t>
  </si>
  <si>
    <t>910</t>
  </si>
  <si>
    <t>10</t>
  </si>
  <si>
    <t>02</t>
  </si>
  <si>
    <t>621</t>
  </si>
  <si>
    <t>0530181001</t>
  </si>
  <si>
    <t>0510181001</t>
  </si>
  <si>
    <t>0550181001</t>
  </si>
  <si>
    <t xml:space="preserve">Предоставление социального обслуживания в полустационарной форме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 </t>
  </si>
  <si>
    <t>АЭ25</t>
  </si>
  <si>
    <t>0510482201</t>
  </si>
  <si>
    <t>Формирование бюджетной отчетности для главного распорядителя, распорядителя, получателя бюджетных средств, главного администратора, администратора источников финансирования дефицита бюджета, главного администратора, администратора доходов бюджета (АУ)</t>
  </si>
  <si>
    <t>0170</t>
  </si>
  <si>
    <t xml:space="preserve">Количество объектов учета (регистров) 
Количество отчетов, подлежащих своду </t>
  </si>
  <si>
    <t>Формирование финансовой (бухгалтерской) отчетности бюджетных и автономных учреждений(АУ)</t>
  </si>
  <si>
    <t>0171</t>
  </si>
  <si>
    <t>Техническое сопровождение и эксплуатация, вывод из эксплуатации информационных систем и компонентов информационно-телекоммуникационной инфраструктуры (АУ)</t>
  </si>
  <si>
    <t>0163</t>
  </si>
  <si>
    <t xml:space="preserve">Количество автоматизированных рабочих мест  </t>
  </si>
  <si>
    <t>Методическое обеспечение в сфере социального обслуживания (КСЦОН)</t>
  </si>
  <si>
    <t>0175</t>
  </si>
  <si>
    <t>Количество проведенных мероприятий</t>
  </si>
  <si>
    <t>0176</t>
  </si>
  <si>
    <t xml:space="preserve"> Организация профессионального обучения и дополнительного профессионального образования безработных граждан, включая обучение в другой местности</t>
  </si>
  <si>
    <t xml:space="preserve"> АЭ31</t>
  </si>
  <si>
    <t>Численность граждан, получивших государственную услугу по профессиональному обучению и дополнительному профессиональному образованию.
Численность граждан, приступивших к профессиональному обучению и дополнительному профессиональному образованию</t>
  </si>
  <si>
    <t>0560182018</t>
  </si>
  <si>
    <t xml:space="preserve"> Государственная программа «Обеспечение социальной защищенности и занятости населения» </t>
  </si>
  <si>
    <t>Обеспечение предоставления государственных (муниципальных) услуг в многофункциональных центрах предоставления государственных (муниципальных) услуг</t>
  </si>
  <si>
    <t>0157</t>
  </si>
  <si>
    <t>минимальное число обращений заявителей за получением государственных (муниципальных) услуг</t>
  </si>
  <si>
    <t xml:space="preserve">Единица </t>
  </si>
  <si>
    <t>Уровень удовлетворенности граждан качеством предоставления государственных и муниципальных услуг</t>
  </si>
  <si>
    <t>Процент</t>
  </si>
  <si>
    <t>908</t>
  </si>
  <si>
    <t>0430181001</t>
  </si>
  <si>
    <t>на 31.12.2022 года остаток средств 148,78 тыс. руб. в связи с экономией по виду расхода 119 по КОСГУ 213  за счет больничных листов</t>
  </si>
  <si>
    <t>0430181014</t>
  </si>
  <si>
    <t xml:space="preserve">на 31.12.2022 года остаток средств 1060,33 тыс. руб. сформировался  по принятым обязательствам перед поставщиками в декабре 2022 года по разработке официального сайта АУ РА "МФЦ", приобретение сервера и лицензии. </t>
  </si>
  <si>
    <t>Техническое сопровождение и эксплуатация, вывод из эксплуатации информационных систем и компонентов информационно-телекоммуникационной инфраструктуры</t>
  </si>
  <si>
    <t>0207</t>
  </si>
  <si>
    <t>Количество автоматизированных рабочих мест</t>
  </si>
  <si>
    <t>Единиц</t>
  </si>
  <si>
    <t>0430281001</t>
  </si>
  <si>
    <t>0430281015</t>
  </si>
  <si>
    <t>Автотранспортное обслуживание должностных лиц государственных органов и государственных учреждений в случаях, установленных нормативными правовыми актами субъектов Российской Федерации, органов местного самоуправления</t>
  </si>
  <si>
    <t>Х</t>
  </si>
  <si>
    <t>Реализация основных общеобразовательных программ начального общего образования</t>
  </si>
  <si>
    <t>БА81</t>
  </si>
  <si>
    <t>число обучающихся</t>
  </si>
  <si>
    <t>903</t>
  </si>
  <si>
    <t>07</t>
  </si>
  <si>
    <t>Реализация основных общеобразовательных программ основного общего образования</t>
  </si>
  <si>
    <t>БА96</t>
  </si>
  <si>
    <t>человеко-час</t>
  </si>
  <si>
    <t>0550181027</t>
  </si>
  <si>
    <t>Реализация основных общеобразовательных программ среднего общего образования</t>
  </si>
  <si>
    <t>ББ11</t>
  </si>
  <si>
    <t xml:space="preserve">Реализация дополнительных общеразвивающих программ </t>
  </si>
  <si>
    <t>ББ52</t>
  </si>
  <si>
    <t>Количество человеко-часов</t>
  </si>
  <si>
    <t>072018001</t>
  </si>
  <si>
    <t xml:space="preserve">Содержание детей </t>
  </si>
  <si>
    <t>БА97</t>
  </si>
  <si>
    <t>Предоставление питания</t>
  </si>
  <si>
    <t>ББ03</t>
  </si>
  <si>
    <t>ББ12</t>
  </si>
  <si>
    <t>ББ18</t>
  </si>
  <si>
    <t>ББ28</t>
  </si>
  <si>
    <t xml:space="preserve">Численность обучающихся </t>
  </si>
  <si>
    <t>0730181001</t>
  </si>
  <si>
    <t>ББ29</t>
  </si>
  <si>
    <t>Реализация дополнительных  общеразвивающих программ туристско-краеведческой направленности  дети с ограниченными возможностями здоровья (ОВЗ)</t>
  </si>
  <si>
    <t>ББ57</t>
  </si>
  <si>
    <t>количество человеко-часов</t>
  </si>
  <si>
    <t>03</t>
  </si>
  <si>
    <t>0740181001</t>
  </si>
  <si>
    <t>ББ60</t>
  </si>
  <si>
    <t>Реализация основных профессиональных образовательных программ профессионального обучения -программ профессиональной подготовки по профессиям рабочих, должностям служащих ОВЗ</t>
  </si>
  <si>
    <t>ББ65</t>
  </si>
  <si>
    <t>Организация мероприятий</t>
  </si>
  <si>
    <t>0009</t>
  </si>
  <si>
    <t>Научно-методическое обеспечение аттестации педагогических работников</t>
  </si>
  <si>
    <t>0016</t>
  </si>
  <si>
    <t>Количество мероприятий</t>
  </si>
  <si>
    <t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</t>
  </si>
  <si>
    <t>0020</t>
  </si>
  <si>
    <t>0750181001</t>
  </si>
  <si>
    <t>Оценка качества образования</t>
  </si>
  <si>
    <t>0021</t>
  </si>
  <si>
    <t>Количество проведенных мероприятий по оценке учебных достижений обучающихся общеобразовательных организаций</t>
  </si>
  <si>
    <t>09</t>
  </si>
  <si>
    <t>0720381001</t>
  </si>
  <si>
    <t>Организационно-технологическое сопровождение государственной итоговой аттестации обучающихся по образовательным программам основного общего и среднего общего образования</t>
  </si>
  <si>
    <t>0022</t>
  </si>
  <si>
    <t>Количество записей</t>
  </si>
  <si>
    <t>Организация летнего отдыха и оздоровления детей</t>
  </si>
  <si>
    <t>0023</t>
  </si>
  <si>
    <t>Численность детей участвующих в программах и оздоровления</t>
  </si>
  <si>
    <t>Предоставление методических услуг</t>
  </si>
  <si>
    <t>0024</t>
  </si>
  <si>
    <t>количество методических материалов регионального уровня</t>
  </si>
  <si>
    <t xml:space="preserve">Методическое обеспечение образовательной деятельности </t>
  </si>
  <si>
    <t>0025</t>
  </si>
  <si>
    <t>единиц</t>
  </si>
  <si>
    <t xml:space="preserve">Организация и проведение массовых мероприятий, направленных на выявление и развитие у обучающихся интеллектуальных и творческих способностей к занятиям физической культурой, спортом, интереса к научной (научно-исследовательской) деятельности, творческой, физкультурно-спортивной деятельности </t>
  </si>
  <si>
    <t>0026</t>
  </si>
  <si>
    <t>Численность граждан принявших участие в мероприятиях</t>
  </si>
  <si>
    <t>Обеспечение доступности дополнительного образования детей</t>
  </si>
  <si>
    <t>0027</t>
  </si>
  <si>
    <t>Количество заочных школ и ежегодных сезонных школ для мотивированных школьников</t>
  </si>
  <si>
    <t>Организация работы и контроля за исполнением мероприятий по реализации ИПРА ребенка-инвалида</t>
  </si>
  <si>
    <t>0028</t>
  </si>
  <si>
    <t>Количество отчетов в Федеральное бюро медико-социальной экспертизы по количеству ИПРА, поступивших на детей-инвалидов</t>
  </si>
  <si>
    <t>0740281001</t>
  </si>
  <si>
    <t>Оказание психолого-педагогической и медико-социальной помощи</t>
  </si>
  <si>
    <t>0029</t>
  </si>
  <si>
    <t>Число обучающихся, их родителей (законных представителей) и педагогических работников которым оказана  психолого-педагогическая и медико-социальная помощь</t>
  </si>
  <si>
    <t xml:space="preserve">Организация работы и осуществление полномочий психолого-медико-педагогической комиссии                                                 
</t>
  </si>
  <si>
    <t>0030</t>
  </si>
  <si>
    <t>Число детей, прошедших психолого-медико-педагогическую  комиссию</t>
  </si>
  <si>
    <t>Проведение фундаментальных научных исследований</t>
  </si>
  <si>
    <t>0031</t>
  </si>
  <si>
    <t>Количество научно-исследовательских работ</t>
  </si>
  <si>
    <t xml:space="preserve">единица </t>
  </si>
  <si>
    <t>0760281001</t>
  </si>
  <si>
    <t>Обеспечение функционирования целевой модели развития региональной системы дополнительного образования</t>
  </si>
  <si>
    <t>0032</t>
  </si>
  <si>
    <t>Количество организаций дополнительного образования охваченных целевой моделью развития региональной системы дополнительного образования детей</t>
  </si>
  <si>
    <t>Организация и проведение мероприятий, направленных на вовлечение подростков и молодежи в добровольческую деятельность</t>
  </si>
  <si>
    <t>0211</t>
  </si>
  <si>
    <t>Организационно-методическое и информационное сопровождение организаций системы образования Республики Алтай</t>
  </si>
  <si>
    <t>0212</t>
  </si>
  <si>
    <t>Работа в целом</t>
  </si>
  <si>
    <t>1002</t>
  </si>
  <si>
    <t>Численность детей, участвующих в программе отдыха и оздоровления</t>
  </si>
  <si>
    <t>Научно-методическое сопровождение педагогических работников</t>
  </si>
  <si>
    <t>2790</t>
  </si>
  <si>
    <t>Количество педагогических работников, охваченных адресным методическим сопровождением</t>
  </si>
  <si>
    <t>Государственная программа "Развитие образования"</t>
  </si>
  <si>
    <t>901</t>
  </si>
  <si>
    <t>Государственная программа "Развитие культуры"</t>
  </si>
  <si>
    <t>Показ (организация показа) концертных программ</t>
  </si>
  <si>
    <t>число зрителей</t>
  </si>
  <si>
    <t>902</t>
  </si>
  <si>
    <t>08</t>
  </si>
  <si>
    <t>0820181001</t>
  </si>
  <si>
    <t>Показ (организация показа) спектаклей (театральных постановок)</t>
  </si>
  <si>
    <t>Библиотечное, библиографическое и информационное обслуживание пользователей библиотеки</t>
  </si>
  <si>
    <t xml:space="preserve">количество посещений </t>
  </si>
  <si>
    <t>0810181001</t>
  </si>
  <si>
    <t>1.15</t>
  </si>
  <si>
    <t>1.16</t>
  </si>
  <si>
    <t>Публичный показ музейных предметов, музейных коллекций</t>
  </si>
  <si>
    <t>число посетителей</t>
  </si>
  <si>
    <t>0830181001</t>
  </si>
  <si>
    <t>1.17</t>
  </si>
  <si>
    <t>Организация и проведение мероприятий</t>
  </si>
  <si>
    <t>Осуществление издательской деятельности</t>
  </si>
  <si>
    <t>количество изданий</t>
  </si>
  <si>
    <t>Реализация образовательных программ среднего профессионального образования - программ подготовки специалистов среднего звена</t>
  </si>
  <si>
    <t>численность обучающихся</t>
  </si>
  <si>
    <t>Содержание (эксплуатация) имущества, находящегося в государственной собственности</t>
  </si>
  <si>
    <t xml:space="preserve">работа в целом </t>
  </si>
  <si>
    <t>0820181017</t>
  </si>
  <si>
    <t>Реализация дополнительных профессиональных программ повышения квалификации</t>
  </si>
  <si>
    <t>Доля преподавателей имеющих высшее образование, от общего количества преподавателей УМЦ</t>
  </si>
  <si>
    <t>100</t>
  </si>
  <si>
    <t>Доля преподавателей, прошедших повышение квалификации, от числа запланированных</t>
  </si>
  <si>
    <t>Организационно-методическое обеспечение</t>
  </si>
  <si>
    <t>Количество курсов</t>
  </si>
  <si>
    <t>0174</t>
  </si>
  <si>
    <t>ББ81</t>
  </si>
  <si>
    <t>ББ68</t>
  </si>
  <si>
    <t>ББ80</t>
  </si>
  <si>
    <t>ББ67</t>
  </si>
  <si>
    <t>ББ83</t>
  </si>
  <si>
    <t>ББ69</t>
  </si>
  <si>
    <t>ББ82</t>
  </si>
  <si>
    <t>ББ72</t>
  </si>
  <si>
    <t>0274</t>
  </si>
  <si>
    <t>0278</t>
  </si>
  <si>
    <t>918</t>
  </si>
  <si>
    <t>0830298700</t>
  </si>
  <si>
    <t>количество полос формата А3</t>
  </si>
  <si>
    <t>Услуги по изданию газет</t>
  </si>
  <si>
    <t>БЕ61</t>
  </si>
  <si>
    <t xml:space="preserve">Реализация дополнительных профессиональных  программ 
повышения квалификации                                                                                                                                                       
</t>
  </si>
  <si>
    <t xml:space="preserve">Реализация дополнительных предпрофессиональных программ в области физической культуры и спорта (спортивные единоборства, этап начальной подготовки) </t>
  </si>
  <si>
    <t>ББ54</t>
  </si>
  <si>
    <t>0910281001</t>
  </si>
  <si>
    <t>Спортивная подготовка по олимпийским видам спорта (легкая атлетика, этап начальной подготовки)</t>
  </si>
  <si>
    <t>БВ2А</t>
  </si>
  <si>
    <t>Число лиц прошедших спортивную подготовку на этапах спортивной подготовки</t>
  </si>
  <si>
    <t>Человек</t>
  </si>
  <si>
    <t xml:space="preserve">Реализация дополнительных общеразвивающих программ (адаптированная образовательная программа) </t>
  </si>
  <si>
    <t>Спортивная подготовка по олимпийским видам спорта (легкая атлетика, тренировочный этап (этап спортивной специализации)</t>
  </si>
  <si>
    <t>БВ27</t>
  </si>
  <si>
    <t xml:space="preserve">Организация и проведение спортивно-массовых мероприятий мероприятий </t>
  </si>
  <si>
    <t>0054</t>
  </si>
  <si>
    <t>Численность детей принявших участие в мероприятиях направленных на пропаганду физкультуры спорта и здорового образа жизни и по разным видам спорта</t>
  </si>
  <si>
    <t>5</t>
  </si>
  <si>
    <t>количество койко-дней</t>
  </si>
  <si>
    <t>Паллиативная помощь (амбулатория)</t>
  </si>
  <si>
    <t>число посещений</t>
  </si>
  <si>
    <t>1020581011</t>
  </si>
  <si>
    <t>1020381010</t>
  </si>
  <si>
    <t>число обращений</t>
  </si>
  <si>
    <t>Патологоанатомическая анатомия</t>
  </si>
  <si>
    <t>Медицинская помощь в рамках клинической апробации методов профилактики, диагностики, лечения и реабилитации</t>
  </si>
  <si>
    <t>количество пациентов</t>
  </si>
  <si>
    <t>условная единица</t>
  </si>
  <si>
    <t>1020381007</t>
  </si>
  <si>
    <t>1020381001</t>
  </si>
  <si>
    <t>количество полетных часов/ количество вызовов</t>
  </si>
  <si>
    <t>1020381008</t>
  </si>
  <si>
    <t>Государственная программа "Развитие здравоохранения"</t>
  </si>
  <si>
    <t>31/10</t>
  </si>
  <si>
    <t>17/5</t>
  </si>
  <si>
    <t>Предоставление социального обслуживания в полустационарной форме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 -зубопротезирование</t>
  </si>
  <si>
    <t>6</t>
  </si>
  <si>
    <t>8</t>
  </si>
  <si>
    <t>9</t>
  </si>
  <si>
    <t>15</t>
  </si>
  <si>
    <t>16</t>
  </si>
  <si>
    <t>17</t>
  </si>
  <si>
    <t>1510481001</t>
  </si>
  <si>
    <t>1740381037</t>
  </si>
  <si>
    <t>Государственная программа Республики Алтай "Комплексные меры профилактики правонарушений и защита населения и территории Республики Алтай от чрезвычайных ситуаций"</t>
  </si>
  <si>
    <t>Государственная программа Республики Алтай "Развитие внутреннего и въездного туризма"</t>
  </si>
  <si>
    <t>Государственная программа Республики Алтай "Развитие физической культуры и спорта"</t>
  </si>
  <si>
    <t>1630181001</t>
  </si>
  <si>
    <t>919</t>
  </si>
  <si>
    <t>150</t>
  </si>
  <si>
    <t>Количество получателей услуг</t>
  </si>
  <si>
    <t>0277</t>
  </si>
  <si>
    <t>Предоставление информации и консультаций по вопросам развития туристской индустрии в Республике Алтай</t>
  </si>
  <si>
    <t>Предупреждение возникновения и распространения лесных пожаров, включая территорию ООПТ (создание лесной противопожарной дороги)</t>
  </si>
  <si>
    <t>0121</t>
  </si>
  <si>
    <t>Протяженность построенных лесных дорог, предназначенных для охраны лесов от пожаров</t>
  </si>
  <si>
    <t>км</t>
  </si>
  <si>
    <t>0620153450</t>
  </si>
  <si>
    <t>Предупреждение возникновения и распространения лесных пожаров, включая территорию ООПТ (реконструкция лесной противопожарной дороги)</t>
  </si>
  <si>
    <t>0131</t>
  </si>
  <si>
    <t>Протяженность реконструированных лесных дорог, предназначенных для охраны лесов от пожаров</t>
  </si>
  <si>
    <t>Предупреждение возникновения и распространения лесных пожаров, включая территорию ООПТ (создание противопожарных минерализованных полос)</t>
  </si>
  <si>
    <t>0100</t>
  </si>
  <si>
    <t>Протяженность устраиваемых противопожарных минерализованных полос</t>
  </si>
  <si>
    <t>Предупреждение возникновения и распространения лесных пожаров, включая территорию ООПТ (обновление противопожарных минерализованных полос)</t>
  </si>
  <si>
    <t>0110</t>
  </si>
  <si>
    <t>Протяженность прочищаемых и обновляемых противопожарных минерализованных полос</t>
  </si>
  <si>
    <t>74</t>
  </si>
  <si>
    <t>614,3</t>
  </si>
  <si>
    <t>Предупреждение возникновения и распространения лесных пожаров, включая территорию ООПТ (содержание лесопожарных формирований, пожарной техники и оборудования, систем связи и оповещения)</t>
  </si>
  <si>
    <t>0268</t>
  </si>
  <si>
    <t>Количество месяцев в году, в течение которых обеспечено функционирование лесопожарного формирования</t>
  </si>
  <si>
    <t>мес.</t>
  </si>
  <si>
    <t>Предупреждение возникновения и распространения лесных пожаров, включая территорию ООПТ (наземный мониторинг)</t>
  </si>
  <si>
    <t>0267</t>
  </si>
  <si>
    <t>Площадь территории</t>
  </si>
  <si>
    <t>га</t>
  </si>
  <si>
    <t xml:space="preserve">Предупреждение возникновения и распространения лесных пожаров, включая территорию ООПТ (авиационный мониторинг пожарной опасности в лесах и лесных пожаров) </t>
  </si>
  <si>
    <t>0266</t>
  </si>
  <si>
    <t>Кратность авиационного патрулирования</t>
  </si>
  <si>
    <t>21 597,5</t>
  </si>
  <si>
    <t>21 597,6</t>
  </si>
  <si>
    <t>Тушение лесных пожаров (ликвидация лесного пожара силами наземных пожарных формирований)</t>
  </si>
  <si>
    <t>0994</t>
  </si>
  <si>
    <t>Площадь, пройденная лесными пожарами</t>
  </si>
  <si>
    <t>849,890</t>
  </si>
  <si>
    <t>Осуществление лесовосстановления и лесоразведения (профилактические лесохозяйственные мероприятия путем применения пестицидов и биологических средств защиты леса для предотвращения появления очагов вредных организмов)</t>
  </si>
  <si>
    <t>0290</t>
  </si>
  <si>
    <t>Площадь профилактического лесохозяйственного мероприятия</t>
  </si>
  <si>
    <t>1900</t>
  </si>
  <si>
    <t>06020151290</t>
  </si>
  <si>
    <t>Осуществление лесовосстановления и лесоразведения (рубки осветления, проводимые в целях ухода за лесами)</t>
  </si>
  <si>
    <t>0285</t>
  </si>
  <si>
    <t>Площадь рубок</t>
  </si>
  <si>
    <t>Осуществление лесовосстановления и лесоразведения (посадка сеянцев, саженцев с открытой корневой системой)</t>
  </si>
  <si>
    <t>0292</t>
  </si>
  <si>
    <t>Площадь посадки</t>
  </si>
  <si>
    <t>30,7</t>
  </si>
  <si>
    <t>062GA54290</t>
  </si>
  <si>
    <t>710,1</t>
  </si>
  <si>
    <t>Осуществление лесовосстановления и лесоразведения (уход за лесными культурами)</t>
  </si>
  <si>
    <t>0269</t>
  </si>
  <si>
    <t>Площадь ухода</t>
  </si>
  <si>
    <t>43</t>
  </si>
  <si>
    <t>311,0</t>
  </si>
  <si>
    <t>Осуществление лесовосстановления и лесоразведения (обработка почвы под лесные культуры на всем участке (сплошная обработка) или на его части (частичная обработка) механическим, химическим или огневым способами)</t>
  </si>
  <si>
    <t>0284</t>
  </si>
  <si>
    <t>40</t>
  </si>
  <si>
    <t>705,4</t>
  </si>
  <si>
    <t>Выполнение работ по лесному семеноводству (заготовка семян лесных растений)</t>
  </si>
  <si>
    <t>0113</t>
  </si>
  <si>
    <t>Количество заготовленных семян</t>
  </si>
  <si>
    <t>кг</t>
  </si>
  <si>
    <t>721,6</t>
  </si>
  <si>
    <t>062GA54310</t>
  </si>
  <si>
    <t>535,1</t>
  </si>
  <si>
    <t>Сохранение природных комплексов, уникальных и эталонных природных участков и объектов</t>
  </si>
  <si>
    <t>0283</t>
  </si>
  <si>
    <t>Количество месяцев в году, в течение которых обеспечен охранный режим на территории ООПТ</t>
  </si>
  <si>
    <t>06</t>
  </si>
  <si>
    <t>0610481001</t>
  </si>
  <si>
    <t>7651,6</t>
  </si>
  <si>
    <t>Деятельность в области гидрометеорологии и смежных областях, мониторинга состояния окружающей среды, ее загрязнения</t>
  </si>
  <si>
    <t>0111</t>
  </si>
  <si>
    <t>Предоставление информации о состоянии и загрязнении окружающей среды</t>
  </si>
  <si>
    <t>50</t>
  </si>
  <si>
    <t>1.18</t>
  </si>
  <si>
    <t>1.19</t>
  </si>
  <si>
    <t>2.4</t>
  </si>
  <si>
    <t>Государственная программа Республики Алтай «Развитие сельского хозяйства и регулирование рынков сельскохозяйственной продукции, сырья и продовольствия»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</si>
  <si>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</si>
  <si>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</si>
  <si>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</si>
  <si>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</si>
  <si>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</si>
  <si>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</si>
  <si>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</si>
  <si>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</si>
  <si>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</si>
  <si>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</si>
  <si>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</si>
  <si>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</si>
  <si>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Государственная программа Республики Алтай "Обеспечение экологической безопасности и улучшение состояния окружающей среды"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</si>
  <si>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</si>
  <si>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</si>
  <si>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</si>
  <si>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</si>
  <si>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</si>
  <si>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</si>
  <si>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</si>
  <si>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</si>
  <si>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</si>
  <si>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</si>
  <si>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</si>
  <si>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</si>
  <si>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</si>
  <si>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</si>
  <si>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</si>
  <si>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</si>
  <si>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 xml:space="preserve">Реализация образовательных программ среднего профессионального образования - программ подготовки специалистов среднего звена </t>
  </si>
  <si>
    <t xml:space="preserve">Реализация образовательных программ среднего профессионального образования - программ подготовки квалифицированных рабочих, служащих 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</si>
  <si>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</si>
  <si>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</si>
  <si>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</si>
  <si>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</si>
  <si>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</si>
  <si>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</si>
  <si>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</si>
  <si>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</si>
  <si>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</si>
  <si>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</si>
  <si>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</si>
  <si>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</si>
  <si>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</si>
  <si>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</si>
  <si>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</si>
  <si>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</si>
  <si>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</si>
  <si>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</si>
  <si>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</si>
  <si>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</si>
  <si>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</si>
  <si>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</si>
  <si>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</si>
  <si>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7.24</t>
  </si>
  <si>
    <t>7.25</t>
  </si>
  <si>
    <t>7.26</t>
  </si>
  <si>
    <t>7.27</t>
  </si>
  <si>
    <t>7.28</t>
  </si>
  <si>
    <t>7.29</t>
  </si>
  <si>
    <t>7.30</t>
  </si>
  <si>
    <t>7.31</t>
  </si>
  <si>
    <t>7.32</t>
  </si>
  <si>
    <t>7.33</t>
  </si>
  <si>
    <t>7.34</t>
  </si>
  <si>
    <t>7.35</t>
  </si>
  <si>
    <t>7.36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</si>
  <si>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</si>
  <si>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</si>
  <si>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</si>
  <si>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</si>
  <si>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</si>
  <si>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</si>
  <si>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</si>
  <si>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</si>
  <si>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</si>
  <si>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</si>
  <si>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</si>
  <si>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</si>
  <si>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</si>
  <si>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</si>
  <si>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</si>
  <si>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</si>
  <si>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</si>
  <si>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9.1</t>
  </si>
  <si>
    <t>9.2</t>
  </si>
  <si>
    <t>9.3</t>
  </si>
  <si>
    <t>9.4</t>
  </si>
  <si>
    <t>9.5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</si>
  <si>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</si>
  <si>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</si>
  <si>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</si>
  <si>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</si>
  <si>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</si>
  <si>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</si>
  <si>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</si>
  <si>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</si>
  <si>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</si>
  <si>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</si>
  <si>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15.1</t>
  </si>
  <si>
    <t>16.1</t>
  </si>
  <si>
    <t>Предоставление социального обслуживания в полустационарной форме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</si>
  <si>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>Государственная программа Республики Алтай "Реализация государственной национальной политики"</t>
  </si>
  <si>
    <t>17.1</t>
  </si>
  <si>
    <t>17.2</t>
  </si>
  <si>
    <t>Реализация образовательных программ среднего профессионального образования - программ подготовки специалистов среднего звена  (мероприятий, направленных на обеспечение антитеррористической безопасности)</t>
  </si>
  <si>
    <t>17.3</t>
  </si>
  <si>
    <t>АД66</t>
  </si>
  <si>
    <t>Паллиативная помощь (круглосуточный стационар)</t>
  </si>
  <si>
    <t>койко-день</t>
  </si>
  <si>
    <t>Первичная медико-санитарная помощь, не включенная в базовую программу обязательного медицинского страхования</t>
  </si>
  <si>
    <t>АД57</t>
  </si>
  <si>
    <t>АБ79</t>
  </si>
  <si>
    <t>АД59</t>
  </si>
  <si>
    <t>случаев госпитализации</t>
  </si>
  <si>
    <t>случаев лечения</t>
  </si>
  <si>
    <t>АЕ91</t>
  </si>
  <si>
    <t>Скорая, в том числе скорая специализированная, медицинская помощь (включая медицинскую эвакуацию), не включенная в базовую программу обязательного медицинского страхования, а также оказание медицинской помощи при чрезвычайных ситуациях</t>
  </si>
  <si>
    <t>АД61</t>
  </si>
  <si>
    <t>число пациентов человек/ количество вызовов</t>
  </si>
  <si>
    <t>Обеспечение лечебным и профилактическим питанием</t>
  </si>
  <si>
    <t>АБ47</t>
  </si>
  <si>
    <t>количество обслуживаемых лиц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</si>
  <si>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</si>
  <si>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</si>
  <si>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</si>
  <si>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</si>
  <si>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</si>
  <si>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</si>
  <si>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</si>
  <si>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</si>
  <si>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</si>
  <si>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Спортивная подготовка по олимпийским видам спорта</t>
  </si>
  <si>
    <t>913</t>
  </si>
  <si>
    <t>11</t>
  </si>
  <si>
    <t>0920181001</t>
  </si>
  <si>
    <t>0920181022</t>
  </si>
  <si>
    <t>Спортивная подготовка по неолимпийским видам спорта</t>
  </si>
  <si>
    <t>БВ28</t>
  </si>
  <si>
    <t>Спортивная подготовка по спорту лиц с поражением ОДА</t>
  </si>
  <si>
    <t>БВ29</t>
  </si>
  <si>
    <t>Спортивная подготовка по спорту лиц с интеллектуальными нарушениями</t>
  </si>
  <si>
    <t>БВ31</t>
  </si>
  <si>
    <t>Спортивная подготовка по спорту глухих</t>
  </si>
  <si>
    <t>БВ33</t>
  </si>
  <si>
    <t>Организация и проведение спортивно-оздоровительной работы по развитию физической культуры и спорта среди различных групп населения</t>
  </si>
  <si>
    <t>АА70</t>
  </si>
  <si>
    <t>17.14</t>
  </si>
  <si>
    <t>17.15</t>
  </si>
  <si>
    <t>Эксплуатируемая площадь административных зданий</t>
  </si>
  <si>
    <t>Тысяча квадратных метро</t>
  </si>
  <si>
    <t>921</t>
  </si>
  <si>
    <t>1710281001</t>
  </si>
  <si>
    <t>Организация и проведение мероприятий в сфере национальной политики</t>
  </si>
  <si>
    <t>количество проведенных мероприятий</t>
  </si>
  <si>
    <t>17.13</t>
  </si>
  <si>
    <t>Государственная программа Республики Алтай "Сохранение и развитие алтайского языка"</t>
  </si>
  <si>
    <t>Государственная программа Республики Алтай "Цифровая трансформация Республики Алтай"</t>
  </si>
  <si>
    <t>18.</t>
  </si>
  <si>
    <t>19.</t>
  </si>
  <si>
    <t>количество экземпляров</t>
  </si>
  <si>
    <t>1820281001</t>
  </si>
  <si>
    <t>объем тиража</t>
  </si>
  <si>
    <t>в рамках празднования юбилейной даты образования детского журнала "Солоны" в пределах доведенных ассигнований издан дополнительный выпуск праздничного номера</t>
  </si>
  <si>
    <t>18.1</t>
  </si>
  <si>
    <t>18.2</t>
  </si>
  <si>
    <t>0154</t>
  </si>
  <si>
    <t>0155</t>
  </si>
  <si>
    <t xml:space="preserve">отмена ограничений по ковиду, перерасчет нормативов затрат </t>
  </si>
  <si>
    <t xml:space="preserve"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 </t>
  </si>
  <si>
    <t xml:space="preserve">Специализированная медицинская помощь (за исключением высокотехнологичной медицинской помощи,)не включенная в базовую программу обязательного медицинского страхования </t>
  </si>
  <si>
    <t>условная единица/единица</t>
  </si>
  <si>
    <t>человек/единица</t>
  </si>
  <si>
    <t>Публичный показ музейных предметов, музейных коллекций (мероприятий, направленных на обеспечение антитеррористической безопасности)</t>
  </si>
  <si>
    <t>Содержание (эксплуатация) имущества, находящегося в государственной собственности (мероприятий, направленных на обеспечение антитеррористической безопасности)</t>
  </si>
  <si>
    <t>рост посещаемости</t>
  </si>
  <si>
    <t xml:space="preserve">Выполнить показатели государственного задания, а именно 10 вылетов и 31 час полета, не представлялось возможным, в связи удорожанием  средней стоимости летного часа  и увеличением средней  продолжительности одного полета - 3,40 часа. </t>
  </si>
  <si>
    <t>наличие целевых законтрактованных остатков на конец года</t>
  </si>
  <si>
    <t>В связи с ковидом,  деятельность   некоторых учреждений здравоохранения  была  приостановлена, в целях оказания медицинской помощи ковидным больным. В соответствии с    Постановлением Правительства Республики Алтай от 24.08.2020 N 276 "О мерах поддержки государственных учреждений культуры, здравоохранения, физической культуры и спорта, дополнительного образования детей и социального обслуживания населения Республики Алтай в связи с осуществлением мероприятий по борьбе с распространением новой коронавирусной инфекции COVID-19"  отклонения  от установленных значений показателей более 15% допустимо.</t>
  </si>
  <si>
    <t>первоначальный</t>
  </si>
  <si>
    <t>за счет экономии расходов, предусмотренных на типографские услуги , выпущены дополнительные экземпляры</t>
  </si>
  <si>
    <t>остаток средств на конец 2022 года - заключен  контракт, целевой остаток  на  начало 2023 года</t>
  </si>
  <si>
    <t>количество отчетов, составленных по результатам услуги</t>
  </si>
  <si>
    <t>В общее количество субъектов МСП включены выбывшие субъекты МСП, которым оказана имущественная поддержка</t>
  </si>
  <si>
    <t xml:space="preserve"> Профилактика обстоятельств, обуславливающих нуждаемости граждан в социальном обслуживании (АУ10)(КСЦОН)</t>
  </si>
  <si>
    <t>Количество проведенных социально значимых мероприятий</t>
  </si>
  <si>
    <t>шт.</t>
  </si>
  <si>
    <t>Причина отклонения по расходам - отсутствие научных работников для выполнения ГЗ. Возврат неиспользованной субсидии осуществлен в РБ РА в сумме 344,4 тыс. рублей</t>
  </si>
  <si>
    <t>возникла потребность по увеличению слушателей на курсах  по дополнительным заявкам ЛПУ (лечебно-профил.учреждений МЗ РА)</t>
  </si>
  <si>
    <t>Доля физических лиц, прошедших обучение, от общего числа физических лиц прошедших обучение ПО дополнительной образовательной программе «Гражданская оборона и защита населения от чрезвычайных ситуаций»</t>
  </si>
  <si>
    <t xml:space="preserve">количество проведенных мероприятий </t>
  </si>
  <si>
    <t>количество вскрытий, количество исследовании</t>
  </si>
  <si>
    <t>4</t>
  </si>
  <si>
    <t>4.1</t>
  </si>
  <si>
    <t>4.2</t>
  </si>
  <si>
    <t>4.3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</si>
  <si>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</si>
  <si>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</si>
  <si>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</si>
  <si>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</si>
  <si>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</si>
  <si>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</si>
  <si>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</si>
  <si>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</si>
  <si>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</si>
  <si>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</si>
  <si>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</si>
  <si>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9.6</t>
  </si>
  <si>
    <t>9.7</t>
  </si>
  <si>
    <t>9.8</t>
  </si>
  <si>
    <t>9.9</t>
  </si>
  <si>
    <t>9.10</t>
  </si>
  <si>
    <t>9.11</t>
  </si>
  <si>
    <t xml:space="preserve">         Сведения о выполнении государственными учреждениями Республики Алтай  государственных заданий на оказание государственных услуг (выполнение работ) за 2022 год, а также об объемах финансового обеспечения выполнения государственных заданий на оказание соответствующих услуг (выполнения работ)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</si>
</sst>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0.0%"/>
    <numFmt numFmtId="165" formatCode="#,##0.0_ ;[Red]\-#,##0.0\ "/>
    <numFmt numFmtId="166" formatCode="#,##0.0"/>
    <numFmt numFmtId="167" formatCode="#,##0_ ;\-#,##0\ "/>
    <numFmt numFmtId="168" formatCode="#,##0.0000_ ;[Red]\-#,##0.0000\ "/>
    <numFmt numFmtId="169" formatCode="0.0"/>
    <numFmt numFmtId="170" formatCode="#,##0.0_ ;\-#,##0.0\ "/>
    <numFmt numFmtId="171" formatCode="#,##0.00_ ;[Red]\-#,##0.00\ "/>
    <numFmt numFmtId="172" formatCode="#,##0.00_ ;\-#,##0.00\ "/>
    <numFmt numFmtId="173" formatCode="#,##0.000"/>
    <numFmt numFmtId="174" formatCode="#\ ###\ ##0.0"/>
  </numFmts>
  <fonts count="15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ahoma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4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9" fontId="10" fillId="0" borderId="2">
      <alignment horizontal="center" vertical="top" shrinkToFit="1"/>
    </xf>
  </cellStyleXfs>
  <cellXfs count="264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top" wrapText="1"/>
    </xf>
    <xf numFmtId="49" fontId="2" fillId="0" borderId="0" xfId="0" applyNumberFormat="1" applyFont="1" applyFill="1" applyAlignment="1">
      <alignment horizontal="center" vertical="top" wrapText="1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vertical="top" wrapText="1"/>
    </xf>
    <xf numFmtId="0" fontId="2" fillId="0" borderId="0" xfId="0" applyFont="1" applyFill="1" applyAlignment="1">
      <alignment vertical="center" wrapText="1"/>
    </xf>
    <xf numFmtId="0" fontId="4" fillId="0" borderId="0" xfId="0" applyFont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top" wrapText="1"/>
    </xf>
    <xf numFmtId="170" fontId="6" fillId="0" borderId="1" xfId="0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 applyProtection="1">
      <alignment horizontal="center"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167" fontId="8" fillId="2" borderId="1" xfId="0" applyNumberFormat="1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left" vertical="center" wrapText="1"/>
    </xf>
    <xf numFmtId="168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top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167" fontId="8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 applyProtection="1">
      <alignment horizontal="center" vertical="center" wrapText="1"/>
    </xf>
    <xf numFmtId="165" fontId="8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wrapText="1"/>
    </xf>
    <xf numFmtId="166" fontId="7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left" vertical="center" wrapText="1"/>
    </xf>
    <xf numFmtId="169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left" vertical="center" wrapText="1"/>
    </xf>
    <xf numFmtId="170" fontId="8" fillId="0" borderId="1" xfId="0" applyNumberFormat="1" applyFont="1" applyFill="1" applyBorder="1" applyAlignment="1">
      <alignment horizontal="center" vertical="center" wrapText="1"/>
    </xf>
    <xf numFmtId="170" fontId="8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172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top" wrapText="1"/>
    </xf>
    <xf numFmtId="173" fontId="8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66" fontId="8" fillId="0" borderId="1" xfId="0" applyNumberFormat="1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171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vertical="center" wrapText="1"/>
    </xf>
    <xf numFmtId="170" fontId="7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left" vertical="center" wrapText="1"/>
    </xf>
    <xf numFmtId="49" fontId="8" fillId="0" borderId="1" xfId="0" applyNumberFormat="1" applyFont="1" applyFill="1" applyBorder="1" applyAlignment="1">
      <alignment vertical="top" wrapText="1"/>
    </xf>
    <xf numFmtId="0" fontId="9" fillId="0" borderId="1" xfId="1" applyNumberFormat="1" applyFont="1" applyFill="1" applyBorder="1" applyAlignment="1" applyProtection="1">
      <alignment vertical="top" wrapText="1"/>
    </xf>
    <xf numFmtId="0" fontId="6" fillId="0" borderId="0" xfId="0" applyNumberFormat="1" applyFont="1" applyFill="1" applyAlignment="1">
      <alignment horizontal="center" vertical="top" wrapText="1"/>
    </xf>
    <xf numFmtId="166" fontId="9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9" fillId="0" borderId="1" xfId="1" applyNumberFormat="1" applyFont="1" applyFill="1" applyBorder="1" applyAlignment="1" applyProtection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top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9" fontId="8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wrapText="1"/>
    </xf>
    <xf numFmtId="166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66" fontId="6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74" fontId="11" fillId="0" borderId="0" xfId="0" applyNumberFormat="1" applyFont="1" applyFill="1" applyBorder="1" applyAlignment="1">
      <alignment vertical="top" wrapText="1"/>
    </xf>
    <xf numFmtId="174" fontId="11" fillId="0" borderId="0" xfId="0" applyNumberFormat="1" applyFont="1" applyFill="1" applyBorder="1" applyAlignment="1">
      <alignment horizontal="left" vertical="top" wrapText="1"/>
    </xf>
    <xf numFmtId="169" fontId="8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172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vertical="center" wrapText="1"/>
    </xf>
    <xf numFmtId="49" fontId="9" fillId="0" borderId="5" xfId="0" applyNumberFormat="1" applyFont="1" applyBorder="1" applyAlignment="1">
      <alignment vertical="center" wrapText="1"/>
    </xf>
    <xf numFmtId="49" fontId="9" fillId="0" borderId="6" xfId="0" applyNumberFormat="1" applyFont="1" applyBorder="1" applyAlignment="1">
      <alignment vertical="center" wrapText="1"/>
    </xf>
    <xf numFmtId="167" fontId="12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166" fontId="9" fillId="0" borderId="1" xfId="0" applyNumberFormat="1" applyFont="1" applyFill="1" applyBorder="1" applyAlignment="1">
      <alignment horizontal="left" vertical="center" wrapText="1"/>
    </xf>
    <xf numFmtId="49" fontId="13" fillId="0" borderId="1" xfId="2" applyNumberFormat="1" applyFont="1" applyBorder="1" applyAlignment="1" applyProtection="1">
      <alignment horizontal="center" vertical="center" shrinkToFit="1"/>
    </xf>
    <xf numFmtId="165" fontId="8" fillId="0" borderId="1" xfId="0" applyNumberFormat="1" applyFont="1" applyFill="1" applyBorder="1" applyAlignment="1">
      <alignment vertical="center" wrapText="1"/>
    </xf>
    <xf numFmtId="49" fontId="13" fillId="0" borderId="1" xfId="2" applyNumberFormat="1" applyFont="1" applyFill="1" applyBorder="1" applyAlignment="1" applyProtection="1">
      <alignment horizontal="center" vertical="center" shrinkToFit="1"/>
    </xf>
    <xf numFmtId="0" fontId="6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left" vertical="center" wrapText="1"/>
    </xf>
    <xf numFmtId="167" fontId="6" fillId="0" borderId="1" xfId="0" applyNumberFormat="1" applyFont="1" applyFill="1" applyBorder="1" applyAlignment="1">
      <alignment horizontal="center" vertical="top" wrapText="1"/>
    </xf>
    <xf numFmtId="174" fontId="13" fillId="0" borderId="1" xfId="0" applyNumberFormat="1" applyFont="1" applyFill="1" applyBorder="1" applyAlignment="1">
      <alignment vertical="top" wrapText="1"/>
    </xf>
    <xf numFmtId="165" fontId="8" fillId="0" borderId="1" xfId="0" applyNumberFormat="1" applyFont="1" applyBorder="1" applyAlignment="1">
      <alignment horizontal="center" vertical="center" wrapText="1"/>
    </xf>
    <xf numFmtId="174" fontId="13" fillId="0" borderId="1" xfId="0" applyNumberFormat="1" applyFont="1" applyFill="1" applyBorder="1" applyAlignment="1">
      <alignment horizontal="left" vertical="top" wrapText="1"/>
    </xf>
    <xf numFmtId="174" fontId="13" fillId="0" borderId="1" xfId="0" applyNumberFormat="1" applyFont="1" applyFill="1" applyBorder="1" applyAlignment="1">
      <alignment horizontal="center" vertical="top" wrapText="1"/>
    </xf>
    <xf numFmtId="49" fontId="7" fillId="0" borderId="1" xfId="1" applyNumberFormat="1" applyFont="1" applyFill="1" applyBorder="1" applyAlignment="1" applyProtection="1">
      <alignment horizontal="center" vertical="top" wrapText="1"/>
    </xf>
    <xf numFmtId="49" fontId="7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164" fontId="9" fillId="0" borderId="1" xfId="0" applyNumberFormat="1" applyFont="1" applyBorder="1" applyAlignment="1">
      <alignment horizontal="center" vertical="center" wrapText="1"/>
    </xf>
    <xf numFmtId="174" fontId="14" fillId="0" borderId="1" xfId="0" applyNumberFormat="1" applyFont="1" applyFill="1" applyBorder="1" applyAlignment="1">
      <alignment vertical="top" wrapText="1"/>
    </xf>
    <xf numFmtId="174" fontId="14" fillId="0" borderId="1" xfId="0" applyNumberFormat="1" applyFont="1" applyFill="1" applyBorder="1" applyAlignment="1">
      <alignment horizontal="left" vertical="top" wrapText="1"/>
    </xf>
    <xf numFmtId="174" fontId="14" fillId="0" borderId="1" xfId="0" applyNumberFormat="1" applyFont="1" applyFill="1" applyBorder="1" applyAlignment="1">
      <alignment horizontal="center" vertical="top" wrapText="1"/>
    </xf>
    <xf numFmtId="0" fontId="7" fillId="0" borderId="5" xfId="0" applyNumberFormat="1" applyFont="1" applyFill="1" applyBorder="1" applyAlignment="1">
      <alignment vertical="top" wrapText="1"/>
    </xf>
    <xf numFmtId="0" fontId="7" fillId="0" borderId="6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" fillId="0" borderId="1" xfId="0" applyFont="1" applyFill="1" applyBorder="1" applyAlignment="1">
      <alignment horizontal="center" wrapText="1"/>
    </xf>
    <xf numFmtId="49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center" wrapText="1"/>
    </xf>
    <xf numFmtId="174" fontId="14" fillId="0" borderId="1" xfId="0" applyNumberFormat="1" applyFont="1" applyFill="1" applyBorder="1" applyAlignment="1">
      <alignment horizontal="left" vertical="top" wrapText="1"/>
    </xf>
    <xf numFmtId="174" fontId="11" fillId="0" borderId="3" xfId="0" applyNumberFormat="1" applyFont="1" applyFill="1" applyBorder="1" applyAlignment="1">
      <alignment horizontal="left" vertical="top" wrapText="1"/>
    </xf>
    <xf numFmtId="174" fontId="11" fillId="0" borderId="0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1" applyNumberFormat="1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>
      <alignment horizontal="justify" vertical="center" wrapText="1"/>
    </xf>
    <xf numFmtId="0" fontId="6" fillId="0" borderId="1" xfId="1" applyNumberFormat="1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1" applyNumberFormat="1" applyFont="1" applyFill="1" applyBorder="1" applyAlignment="1" applyProtection="1">
      <alignment horizontal="justify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center" wrapText="1"/>
    </xf>
    <xf numFmtId="0" fontId="8" fillId="0" borderId="1" xfId="1" applyNumberFormat="1" applyFont="1" applyFill="1" applyBorder="1" applyAlignment="1" applyProtection="1">
      <alignment horizontal="left" vertical="top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top" wrapText="1"/>
    </xf>
    <xf numFmtId="49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1" xfId="1" applyNumberFormat="1" applyFont="1" applyFill="1" applyBorder="1" applyAlignment="1" applyProtection="1">
      <alignment vertical="top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49" fontId="8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top" wrapText="1"/>
    </xf>
    <xf numFmtId="49" fontId="9" fillId="0" borderId="4" xfId="0" applyNumberFormat="1" applyFont="1" applyBorder="1" applyAlignment="1">
      <alignment horizontal="left" vertical="center" wrapText="1"/>
    </xf>
    <xf numFmtId="49" fontId="9" fillId="0" borderId="5" xfId="0" applyNumberFormat="1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0" fontId="8" fillId="0" borderId="1" xfId="1" applyFont="1" applyBorder="1" applyAlignment="1">
      <alignment horizontal="left" vertical="center" wrapText="1"/>
    </xf>
    <xf numFmtId="49" fontId="9" fillId="0" borderId="4" xfId="0" applyNumberFormat="1" applyFont="1" applyFill="1" applyBorder="1" applyAlignment="1">
      <alignment horizontal="left" vertical="center" wrapText="1"/>
    </xf>
    <xf numFmtId="49" fontId="9" fillId="0" borderId="5" xfId="0" applyNumberFormat="1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top" wrapText="1"/>
    </xf>
    <xf numFmtId="167" fontId="8" fillId="0" borderId="7" xfId="0" applyNumberFormat="1" applyFont="1" applyFill="1" applyBorder="1" applyAlignment="1">
      <alignment horizontal="justify" vertical="center" wrapText="1"/>
    </xf>
    <xf numFmtId="167" fontId="8" fillId="0" borderId="9" xfId="0" applyNumberFormat="1" applyFont="1" applyFill="1" applyBorder="1" applyAlignment="1">
      <alignment horizontal="justify" vertical="center" wrapText="1"/>
    </xf>
    <xf numFmtId="49" fontId="7" fillId="0" borderId="4" xfId="0" applyNumberFormat="1" applyFont="1" applyFill="1" applyBorder="1" applyAlignment="1">
      <alignment horizontal="left" vertical="center" wrapText="1"/>
    </xf>
    <xf numFmtId="49" fontId="7" fillId="0" borderId="5" xfId="0" applyNumberFormat="1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left" vertical="center" wrapText="1"/>
    </xf>
    <xf numFmtId="49" fontId="9" fillId="0" borderId="6" xfId="0" applyNumberFormat="1" applyFont="1" applyFill="1" applyBorder="1" applyAlignment="1">
      <alignment horizontal="left" vertical="center" wrapText="1"/>
    </xf>
    <xf numFmtId="0" fontId="9" fillId="0" borderId="4" xfId="1" applyNumberFormat="1" applyFont="1" applyFill="1" applyBorder="1" applyAlignment="1" applyProtection="1">
      <alignment horizontal="left" vertical="top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6" xfId="1" applyNumberFormat="1" applyFont="1" applyFill="1" applyBorder="1" applyAlignment="1" applyProtection="1">
      <alignment horizontal="left" vertical="top" wrapText="1"/>
    </xf>
    <xf numFmtId="0" fontId="7" fillId="0" borderId="4" xfId="0" applyNumberFormat="1" applyFont="1" applyFill="1" applyBorder="1" applyAlignment="1">
      <alignment horizontal="left" vertical="top" wrapText="1"/>
    </xf>
    <xf numFmtId="0" fontId="7" fillId="0" borderId="5" xfId="0" applyNumberFormat="1" applyFont="1" applyFill="1" applyBorder="1" applyAlignment="1">
      <alignment horizontal="left" vertical="top" wrapText="1"/>
    </xf>
  </cellXfs>
  <cellStyles count="3">
    <cellStyle name="ex67" xfId="2"/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2;&#1080;&#1085;&#1072;&#1085;&#1089;&#1080;&#1088;&#1086;&#1074;&#1072;&#1085;&#1080;&#1103;%20&#1089;&#1086;&#1094;&#1080;&#1072;&#1083;&#1100;&#1085;&#1086;&#1081;%20&#1089;&#1092;&#1077;&#1088;&#1099;/&#1054;&#1058;&#1044;&#1045;&#1051;/!&#1057;&#1091;&#1084;&#1072;&#1095;&#1072;&#1082;&#1086;&#1074;&#1072;/&#1086;&#1090;&#1082;&#1088;&#1099;&#1090;&#1099;&#1081;%20&#1073;&#1102;&#1076;&#1078;&#1077;&#1090;/2022/&#1043;&#1086;&#1089;&#1079;&#1072;&#1076;&#1072;&#1085;&#1080;&#1077;/&#1052;&#1080;&#1085;&#1087;&#1088;&#1080;&#1088;&#1086;&#1076;&#1099;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Байгол"/>
      <sheetName val="Турочак"/>
      <sheetName val="Шебалино"/>
      <sheetName val="Каракокша"/>
      <sheetName val="Кош-Агач"/>
      <sheetName val="Онгудай"/>
      <sheetName val="Улаган"/>
      <sheetName val="Усть-Кан"/>
      <sheetName val="Усть-Кокса"/>
      <sheetName val="Чемал"/>
      <sheetName val="Авиалесоохрана "/>
      <sheetName val="Дирекция ООПТ"/>
      <sheetName val="АРИ Эколог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60"/>
  <sheetViews>
    <sheetView tabSelected="1" view="pageBreakPreview" topLeftCell="B1" zoomScale="90" zoomScaleNormal="60" zoomScaleSheetLayoutView="90" workbookViewId="0">
      <selection activeCell="C3" sqref="C3:S3"/>
    </sheetView>
  </sheetViews>
  <sheetFormatPr defaultColWidth="9.140625" defaultRowHeight="18.75" x14ac:dyDescent="0.3"/>
  <cols>
    <col min="1" max="1" width="1" style="1" customWidth="1"/>
    <col min="2" max="2" width="8.85546875" style="9" customWidth="1"/>
    <col min="3" max="3" width="32.5703125" style="8" customWidth="1"/>
    <col min="4" max="4" width="14.140625" style="7" customWidth="1"/>
    <col min="5" max="5" width="6.28515625" style="7" customWidth="1"/>
    <col min="6" max="6" width="4.140625" style="7" customWidth="1"/>
    <col min="7" max="7" width="5.28515625" style="7" customWidth="1"/>
    <col min="8" max="8" width="17.140625" style="7" customWidth="1"/>
    <col min="9" max="9" width="7.28515625" style="7" customWidth="1"/>
    <col min="10" max="10" width="31.42578125" style="6" customWidth="1"/>
    <col min="11" max="11" width="14.42578125" style="5" customWidth="1"/>
    <col min="12" max="12" width="16.85546875" style="5" customWidth="1"/>
    <col min="13" max="13" width="16.140625" style="5" customWidth="1"/>
    <col min="14" max="14" width="14.85546875" style="5" customWidth="1"/>
    <col min="15" max="15" width="13.5703125" style="5" customWidth="1"/>
    <col min="16" max="16" width="19.42578125" style="5" customWidth="1"/>
    <col min="17" max="17" width="13.28515625" style="5" customWidth="1"/>
    <col min="18" max="18" width="12.5703125" style="4" customWidth="1"/>
    <col min="19" max="19" width="33.85546875" style="2" customWidth="1"/>
    <col min="20" max="20" width="9.140625" style="1"/>
    <col min="21" max="21" width="49" style="1" customWidth="1"/>
    <col min="22" max="16384" width="9.140625" style="1"/>
  </cols>
  <sheetData>
    <row r="1" spans="1:23" ht="9" customHeight="1" x14ac:dyDescent="0.3"/>
    <row r="2" spans="1:23" x14ac:dyDescent="0.3">
      <c r="S2"/>
      <c r="T2"/>
      <c r="U2" s="14"/>
      <c r="V2" s="14"/>
      <c r="W2"/>
    </row>
    <row r="3" spans="1:23" ht="44.25" customHeight="1" x14ac:dyDescent="0.3">
      <c r="C3" s="252" t="s">
        <v>673</v>
      </c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/>
      <c r="U3" s="14"/>
      <c r="V3" s="14"/>
      <c r="W3"/>
    </row>
    <row r="4" spans="1:23" ht="15" customHeight="1" x14ac:dyDescent="0.3"/>
    <row r="5" spans="1:23" s="13" customFormat="1" ht="18.75" customHeight="1" x14ac:dyDescent="0.25">
      <c r="B5" s="196" t="s">
        <v>45</v>
      </c>
      <c r="C5" s="235" t="s">
        <v>44</v>
      </c>
      <c r="D5" s="235" t="s">
        <v>43</v>
      </c>
      <c r="E5" s="235"/>
      <c r="F5" s="235"/>
      <c r="G5" s="235"/>
      <c r="H5" s="235"/>
      <c r="I5" s="235"/>
      <c r="J5" s="235" t="s">
        <v>42</v>
      </c>
      <c r="K5" s="199" t="s">
        <v>41</v>
      </c>
      <c r="L5" s="199" t="s">
        <v>40</v>
      </c>
      <c r="M5" s="199"/>
      <c r="N5" s="199" t="s">
        <v>39</v>
      </c>
      <c r="O5" s="199"/>
      <c r="P5" s="199"/>
      <c r="Q5" s="199" t="s">
        <v>38</v>
      </c>
      <c r="R5" s="199"/>
      <c r="S5" s="199"/>
    </row>
    <row r="6" spans="1:23" s="13" customFormat="1" ht="110.25" customHeight="1" x14ac:dyDescent="0.25">
      <c r="B6" s="196"/>
      <c r="C6" s="235"/>
      <c r="D6" s="235"/>
      <c r="E6" s="235"/>
      <c r="F6" s="235"/>
      <c r="G6" s="235"/>
      <c r="H6" s="235"/>
      <c r="I6" s="235"/>
      <c r="J6" s="235"/>
      <c r="K6" s="199"/>
      <c r="L6" s="107" t="s">
        <v>639</v>
      </c>
      <c r="M6" s="107" t="s">
        <v>37</v>
      </c>
      <c r="N6" s="107" t="s">
        <v>35</v>
      </c>
      <c r="O6" s="24" t="s">
        <v>34</v>
      </c>
      <c r="P6" s="107" t="s">
        <v>36</v>
      </c>
      <c r="Q6" s="107" t="s">
        <v>35</v>
      </c>
      <c r="R6" s="24" t="s">
        <v>34</v>
      </c>
      <c r="S6" s="107" t="s">
        <v>33</v>
      </c>
    </row>
    <row r="7" spans="1:23" s="3" customFormat="1" x14ac:dyDescent="0.25">
      <c r="B7" s="110">
        <v>1</v>
      </c>
      <c r="C7" s="114">
        <v>2</v>
      </c>
      <c r="D7" s="114">
        <v>3</v>
      </c>
      <c r="E7" s="114">
        <v>4</v>
      </c>
      <c r="F7" s="114">
        <v>5</v>
      </c>
      <c r="G7" s="114">
        <v>6</v>
      </c>
      <c r="H7" s="114">
        <v>7</v>
      </c>
      <c r="I7" s="114">
        <v>8</v>
      </c>
      <c r="J7" s="114">
        <v>9</v>
      </c>
      <c r="K7" s="107">
        <v>10</v>
      </c>
      <c r="L7" s="107">
        <v>11</v>
      </c>
      <c r="M7" s="107">
        <v>12</v>
      </c>
      <c r="N7" s="107">
        <v>13</v>
      </c>
      <c r="O7" s="107">
        <v>14</v>
      </c>
      <c r="P7" s="107">
        <v>15</v>
      </c>
      <c r="Q7" s="107">
        <v>17</v>
      </c>
      <c r="R7" s="107">
        <v>18</v>
      </c>
      <c r="S7" s="107">
        <v>21</v>
      </c>
    </row>
    <row r="8" spans="1:23" s="13" customFormat="1" ht="22.5" customHeight="1" x14ac:dyDescent="0.25">
      <c r="B8" s="111" t="s">
        <v>32</v>
      </c>
      <c r="C8" s="242" t="s">
        <v>459</v>
      </c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58"/>
      <c r="O8" s="91"/>
      <c r="P8" s="91"/>
      <c r="Q8" s="91"/>
      <c r="R8" s="91"/>
      <c r="S8" s="91"/>
    </row>
    <row r="9" spans="1:23" s="11" customFormat="1" ht="31.5" x14ac:dyDescent="0.3">
      <c r="A9" s="12"/>
      <c r="B9" s="230" t="s">
        <v>31</v>
      </c>
      <c r="C9" s="232" t="s">
        <v>30</v>
      </c>
      <c r="D9" s="113" t="s">
        <v>13</v>
      </c>
      <c r="E9" s="233" t="s">
        <v>46</v>
      </c>
      <c r="F9" s="233"/>
      <c r="G9" s="233"/>
      <c r="H9" s="233"/>
      <c r="I9" s="233"/>
      <c r="J9" s="25" t="s">
        <v>26</v>
      </c>
      <c r="K9" s="26" t="s">
        <v>25</v>
      </c>
      <c r="L9" s="27">
        <v>6715</v>
      </c>
      <c r="M9" s="27">
        <v>6715</v>
      </c>
      <c r="N9" s="28" t="s">
        <v>29</v>
      </c>
      <c r="O9" s="28" t="s">
        <v>0</v>
      </c>
      <c r="P9" s="27"/>
      <c r="Q9" s="27">
        <v>6722</v>
      </c>
      <c r="R9" s="24">
        <f>Q9/M9</f>
        <v>1.0009999999999999</v>
      </c>
      <c r="S9" s="25"/>
    </row>
    <row r="10" spans="1:23" s="11" customFormat="1" ht="31.5" x14ac:dyDescent="0.3">
      <c r="A10" s="12"/>
      <c r="B10" s="230"/>
      <c r="C10" s="232"/>
      <c r="D10" s="113" t="s">
        <v>10</v>
      </c>
      <c r="E10" s="29" t="s">
        <v>9</v>
      </c>
      <c r="F10" s="113" t="s">
        <v>8</v>
      </c>
      <c r="G10" s="113" t="s">
        <v>7</v>
      </c>
      <c r="H10" s="113" t="s">
        <v>6</v>
      </c>
      <c r="I10" s="26" t="s">
        <v>5</v>
      </c>
      <c r="J10" s="25" t="s">
        <v>4</v>
      </c>
      <c r="K10" s="26" t="s">
        <v>3</v>
      </c>
      <c r="L10" s="135">
        <v>4528</v>
      </c>
      <c r="M10" s="135">
        <v>4528</v>
      </c>
      <c r="N10" s="28">
        <f>M10</f>
        <v>4528</v>
      </c>
      <c r="O10" s="24">
        <f>N10/M10</f>
        <v>1</v>
      </c>
      <c r="P10" s="28"/>
      <c r="Q10" s="28">
        <f>N10</f>
        <v>4528</v>
      </c>
      <c r="R10" s="24">
        <f t="shared" ref="R10:R19" si="0">Q10/M10</f>
        <v>1</v>
      </c>
      <c r="S10" s="30"/>
      <c r="U10" s="11">
        <v>1000</v>
      </c>
    </row>
    <row r="11" spans="1:23" s="11" customFormat="1" ht="37.5" customHeight="1" x14ac:dyDescent="0.3">
      <c r="A11" s="12"/>
      <c r="B11" s="230" t="s">
        <v>28</v>
      </c>
      <c r="C11" s="232" t="s">
        <v>27</v>
      </c>
      <c r="D11" s="113" t="s">
        <v>13</v>
      </c>
      <c r="E11" s="233" t="s">
        <v>47</v>
      </c>
      <c r="F11" s="233"/>
      <c r="G11" s="233"/>
      <c r="H11" s="233"/>
      <c r="I11" s="233"/>
      <c r="J11" s="25" t="s">
        <v>26</v>
      </c>
      <c r="K11" s="26" t="s">
        <v>25</v>
      </c>
      <c r="L11" s="28">
        <v>174</v>
      </c>
      <c r="M11" s="28">
        <v>174</v>
      </c>
      <c r="N11" s="28" t="s">
        <v>0</v>
      </c>
      <c r="O11" s="28" t="s">
        <v>0</v>
      </c>
      <c r="P11" s="28"/>
      <c r="Q11" s="28">
        <v>200.6</v>
      </c>
      <c r="R11" s="24">
        <f t="shared" si="0"/>
        <v>1.153</v>
      </c>
      <c r="S11" s="30"/>
    </row>
    <row r="12" spans="1:23" s="11" customFormat="1" ht="31.5" x14ac:dyDescent="0.3">
      <c r="A12" s="12"/>
      <c r="B12" s="231"/>
      <c r="C12" s="232"/>
      <c r="D12" s="113" t="s">
        <v>10</v>
      </c>
      <c r="E12" s="29" t="s">
        <v>9</v>
      </c>
      <c r="F12" s="113" t="s">
        <v>8</v>
      </c>
      <c r="G12" s="113" t="s">
        <v>7</v>
      </c>
      <c r="H12" s="113" t="s">
        <v>6</v>
      </c>
      <c r="I12" s="26" t="s">
        <v>5</v>
      </c>
      <c r="J12" s="25" t="s">
        <v>4</v>
      </c>
      <c r="K12" s="26" t="s">
        <v>3</v>
      </c>
      <c r="L12" s="28">
        <v>10500.9</v>
      </c>
      <c r="M12" s="28">
        <v>10637.5</v>
      </c>
      <c r="N12" s="28">
        <v>10637.5</v>
      </c>
      <c r="O12" s="24">
        <f>N12/M12</f>
        <v>1</v>
      </c>
      <c r="P12" s="28"/>
      <c r="Q12" s="28">
        <v>10637.5</v>
      </c>
      <c r="R12" s="24">
        <f t="shared" si="0"/>
        <v>1</v>
      </c>
      <c r="S12" s="30"/>
    </row>
    <row r="13" spans="1:23" s="11" customFormat="1" ht="40.5" customHeight="1" x14ac:dyDescent="0.3">
      <c r="A13" s="12"/>
      <c r="B13" s="230" t="s">
        <v>24</v>
      </c>
      <c r="C13" s="232" t="s">
        <v>23</v>
      </c>
      <c r="D13" s="113" t="s">
        <v>13</v>
      </c>
      <c r="E13" s="233" t="s">
        <v>48</v>
      </c>
      <c r="F13" s="233"/>
      <c r="G13" s="233"/>
      <c r="H13" s="233"/>
      <c r="I13" s="233"/>
      <c r="J13" s="31" t="s">
        <v>22</v>
      </c>
      <c r="K13" s="26" t="s">
        <v>11</v>
      </c>
      <c r="L13" s="27">
        <v>350</v>
      </c>
      <c r="M13" s="27">
        <v>350</v>
      </c>
      <c r="N13" s="28" t="s">
        <v>0</v>
      </c>
      <c r="O13" s="27" t="s">
        <v>0</v>
      </c>
      <c r="P13" s="27"/>
      <c r="Q13" s="27">
        <v>311</v>
      </c>
      <c r="R13" s="24">
        <f t="shared" si="0"/>
        <v>0.88900000000000001</v>
      </c>
      <c r="S13" s="25"/>
    </row>
    <row r="14" spans="1:23" s="11" customFormat="1" ht="35.25" customHeight="1" x14ac:dyDescent="0.3">
      <c r="A14" s="12"/>
      <c r="B14" s="230"/>
      <c r="C14" s="232"/>
      <c r="D14" s="113" t="s">
        <v>10</v>
      </c>
      <c r="E14" s="113" t="s">
        <v>9</v>
      </c>
      <c r="F14" s="113" t="s">
        <v>8</v>
      </c>
      <c r="G14" s="113" t="s">
        <v>7</v>
      </c>
      <c r="H14" s="113" t="s">
        <v>6</v>
      </c>
      <c r="I14" s="113" t="s">
        <v>5</v>
      </c>
      <c r="J14" s="31" t="s">
        <v>4</v>
      </c>
      <c r="K14" s="26" t="s">
        <v>3</v>
      </c>
      <c r="L14" s="32">
        <v>1032.9000000000001</v>
      </c>
      <c r="M14" s="32">
        <v>1047.9000000000001</v>
      </c>
      <c r="N14" s="32">
        <f>M14</f>
        <v>1047.9000000000001</v>
      </c>
      <c r="O14" s="24">
        <f>N14/M14</f>
        <v>1</v>
      </c>
      <c r="P14" s="26"/>
      <c r="Q14" s="28">
        <f>N14</f>
        <v>1047.9000000000001</v>
      </c>
      <c r="R14" s="24">
        <f t="shared" si="0"/>
        <v>1</v>
      </c>
      <c r="S14" s="33"/>
    </row>
    <row r="15" spans="1:23" s="11" customFormat="1" ht="59.25" customHeight="1" x14ac:dyDescent="0.3">
      <c r="A15" s="12"/>
      <c r="B15" s="230" t="s">
        <v>21</v>
      </c>
      <c r="C15" s="232" t="s">
        <v>20</v>
      </c>
      <c r="D15" s="233" t="s">
        <v>13</v>
      </c>
      <c r="E15" s="233" t="s">
        <v>49</v>
      </c>
      <c r="F15" s="234"/>
      <c r="G15" s="234"/>
      <c r="H15" s="234"/>
      <c r="I15" s="234"/>
      <c r="J15" s="31" t="s">
        <v>19</v>
      </c>
      <c r="K15" s="26" t="s">
        <v>18</v>
      </c>
      <c r="L15" s="34">
        <v>0.89390000000000003</v>
      </c>
      <c r="M15" s="34">
        <v>0.89390000000000003</v>
      </c>
      <c r="N15" s="32" t="s">
        <v>0</v>
      </c>
      <c r="O15" s="35" t="s">
        <v>0</v>
      </c>
      <c r="P15" s="26"/>
      <c r="Q15" s="34">
        <v>0.89390000000000003</v>
      </c>
      <c r="R15" s="24">
        <f t="shared" si="0"/>
        <v>1</v>
      </c>
      <c r="S15" s="33"/>
    </row>
    <row r="16" spans="1:23" s="11" customFormat="1" ht="39.75" customHeight="1" x14ac:dyDescent="0.3">
      <c r="A16" s="12"/>
      <c r="B16" s="230"/>
      <c r="C16" s="232"/>
      <c r="D16" s="234"/>
      <c r="E16" s="234"/>
      <c r="F16" s="234"/>
      <c r="G16" s="234"/>
      <c r="H16" s="234"/>
      <c r="I16" s="234"/>
      <c r="J16" s="31" t="s">
        <v>17</v>
      </c>
      <c r="K16" s="26" t="s">
        <v>16</v>
      </c>
      <c r="L16" s="32">
        <v>100</v>
      </c>
      <c r="M16" s="32">
        <v>100</v>
      </c>
      <c r="N16" s="32" t="s">
        <v>0</v>
      </c>
      <c r="O16" s="35" t="s">
        <v>0</v>
      </c>
      <c r="P16" s="26"/>
      <c r="Q16" s="28">
        <v>100</v>
      </c>
      <c r="R16" s="24">
        <f t="shared" si="0"/>
        <v>1</v>
      </c>
      <c r="S16" s="33"/>
    </row>
    <row r="17" spans="1:19" s="11" customFormat="1" ht="33.950000000000003" customHeight="1" x14ac:dyDescent="0.3">
      <c r="A17" s="12"/>
      <c r="B17" s="231"/>
      <c r="C17" s="232"/>
      <c r="D17" s="113" t="s">
        <v>10</v>
      </c>
      <c r="E17" s="29" t="s">
        <v>9</v>
      </c>
      <c r="F17" s="113" t="s">
        <v>8</v>
      </c>
      <c r="G17" s="113" t="s">
        <v>7</v>
      </c>
      <c r="H17" s="113" t="s">
        <v>6</v>
      </c>
      <c r="I17" s="26" t="s">
        <v>5</v>
      </c>
      <c r="J17" s="31" t="s">
        <v>4</v>
      </c>
      <c r="K17" s="26" t="s">
        <v>3</v>
      </c>
      <c r="L17" s="32">
        <v>6064.4</v>
      </c>
      <c r="M17" s="32">
        <v>6371.6</v>
      </c>
      <c r="N17" s="32">
        <f>M17</f>
        <v>6371.6</v>
      </c>
      <c r="O17" s="24">
        <f>N17/M17</f>
        <v>1</v>
      </c>
      <c r="P17" s="26"/>
      <c r="Q17" s="28">
        <f>N17</f>
        <v>6371.6</v>
      </c>
      <c r="R17" s="24">
        <f t="shared" si="0"/>
        <v>1</v>
      </c>
      <c r="S17" s="33"/>
    </row>
    <row r="18" spans="1:19" s="11" customFormat="1" ht="33.950000000000003" customHeight="1" x14ac:dyDescent="0.3">
      <c r="A18" s="12"/>
      <c r="B18" s="230" t="s">
        <v>15</v>
      </c>
      <c r="C18" s="232" t="s">
        <v>14</v>
      </c>
      <c r="D18" s="113" t="s">
        <v>13</v>
      </c>
      <c r="E18" s="233" t="s">
        <v>50</v>
      </c>
      <c r="F18" s="234"/>
      <c r="G18" s="234"/>
      <c r="H18" s="234"/>
      <c r="I18" s="234"/>
      <c r="J18" s="31" t="s">
        <v>12</v>
      </c>
      <c r="K18" s="26" t="s">
        <v>11</v>
      </c>
      <c r="L18" s="32">
        <v>5600</v>
      </c>
      <c r="M18" s="32">
        <v>5600</v>
      </c>
      <c r="N18" s="32" t="s">
        <v>0</v>
      </c>
      <c r="O18" s="35" t="s">
        <v>0</v>
      </c>
      <c r="P18" s="26"/>
      <c r="Q18" s="28">
        <v>5796</v>
      </c>
      <c r="R18" s="24">
        <f t="shared" si="0"/>
        <v>1.0349999999999999</v>
      </c>
      <c r="S18" s="33"/>
    </row>
    <row r="19" spans="1:19" s="11" customFormat="1" ht="45.75" customHeight="1" x14ac:dyDescent="0.3">
      <c r="A19" s="12"/>
      <c r="B19" s="231"/>
      <c r="C19" s="232"/>
      <c r="D19" s="113" t="s">
        <v>10</v>
      </c>
      <c r="E19" s="113" t="s">
        <v>9</v>
      </c>
      <c r="F19" s="113" t="s">
        <v>8</v>
      </c>
      <c r="G19" s="113" t="s">
        <v>7</v>
      </c>
      <c r="H19" s="113" t="s">
        <v>6</v>
      </c>
      <c r="I19" s="113" t="s">
        <v>5</v>
      </c>
      <c r="J19" s="31" t="s">
        <v>4</v>
      </c>
      <c r="K19" s="26" t="s">
        <v>3</v>
      </c>
      <c r="L19" s="32">
        <v>5235.8</v>
      </c>
      <c r="M19" s="32">
        <v>5266.1</v>
      </c>
      <c r="N19" s="32">
        <f>M19</f>
        <v>5266.1</v>
      </c>
      <c r="O19" s="24">
        <f>N19/M19</f>
        <v>1</v>
      </c>
      <c r="P19" s="26"/>
      <c r="Q19" s="28">
        <f>N19</f>
        <v>5266.1</v>
      </c>
      <c r="R19" s="24">
        <f t="shared" si="0"/>
        <v>1</v>
      </c>
      <c r="S19" s="33"/>
    </row>
    <row r="20" spans="1:19" s="10" customFormat="1" x14ac:dyDescent="0.3">
      <c r="B20" s="112"/>
      <c r="C20" s="36" t="s">
        <v>1</v>
      </c>
      <c r="D20" s="37"/>
      <c r="E20" s="37"/>
      <c r="F20" s="37"/>
      <c r="G20" s="37"/>
      <c r="H20" s="37"/>
      <c r="I20" s="37"/>
      <c r="J20" s="38"/>
      <c r="K20" s="39"/>
      <c r="L20" s="40">
        <f>L10+L12+L14+L17+L19</f>
        <v>27362</v>
      </c>
      <c r="M20" s="40">
        <f>M10+M12+M14+M17+M19</f>
        <v>27851.1</v>
      </c>
      <c r="N20" s="40">
        <f>N10+N12+N14+N17+N19</f>
        <v>27851.1</v>
      </c>
      <c r="O20" s="40"/>
      <c r="P20" s="40"/>
      <c r="Q20" s="40">
        <f>Q10+Q12+Q14+Q17+Q19</f>
        <v>27851.1</v>
      </c>
      <c r="R20" s="41" t="s">
        <v>0</v>
      </c>
      <c r="S20" s="42"/>
    </row>
    <row r="21" spans="1:19" s="10" customFormat="1" ht="31.5" x14ac:dyDescent="0.3">
      <c r="B21" s="209" t="s">
        <v>68</v>
      </c>
      <c r="C21" s="220" t="s">
        <v>51</v>
      </c>
      <c r="D21" s="110" t="s">
        <v>13</v>
      </c>
      <c r="E21" s="196" t="s">
        <v>52</v>
      </c>
      <c r="F21" s="196"/>
      <c r="G21" s="196"/>
      <c r="H21" s="196"/>
      <c r="I21" s="196"/>
      <c r="J21" s="43" t="s">
        <v>53</v>
      </c>
      <c r="K21" s="107" t="s">
        <v>54</v>
      </c>
      <c r="L21" s="44">
        <v>392631</v>
      </c>
      <c r="M21" s="44">
        <f>L21</f>
        <v>392631</v>
      </c>
      <c r="N21" s="45" t="s">
        <v>0</v>
      </c>
      <c r="O21" s="44" t="s">
        <v>0</v>
      </c>
      <c r="P21" s="44"/>
      <c r="Q21" s="44">
        <v>393212</v>
      </c>
      <c r="R21" s="24">
        <f t="shared" ref="R21:R50" si="1">Q21/M21</f>
        <v>1.0009999999999999</v>
      </c>
      <c r="S21" s="43"/>
    </row>
    <row r="22" spans="1:19" s="10" customFormat="1" ht="31.5" x14ac:dyDescent="0.3">
      <c r="B22" s="209"/>
      <c r="C22" s="191"/>
      <c r="D22" s="47" t="s">
        <v>10</v>
      </c>
      <c r="E22" s="110" t="s">
        <v>55</v>
      </c>
      <c r="F22" s="110" t="s">
        <v>8</v>
      </c>
      <c r="G22" s="110" t="s">
        <v>7</v>
      </c>
      <c r="H22" s="110" t="s">
        <v>56</v>
      </c>
      <c r="I22" s="110" t="s">
        <v>5</v>
      </c>
      <c r="J22" s="49" t="s">
        <v>4</v>
      </c>
      <c r="K22" s="107" t="s">
        <v>3</v>
      </c>
      <c r="L22" s="45">
        <v>18675.3</v>
      </c>
      <c r="M22" s="45">
        <v>19121.099999999999</v>
      </c>
      <c r="N22" s="45">
        <v>19121.099999999999</v>
      </c>
      <c r="O22" s="24">
        <v>1</v>
      </c>
      <c r="P22" s="45"/>
      <c r="Q22" s="45">
        <v>19163.8</v>
      </c>
      <c r="R22" s="24">
        <f t="shared" si="1"/>
        <v>1.002</v>
      </c>
      <c r="S22" s="48"/>
    </row>
    <row r="23" spans="1:19" ht="31.5" x14ac:dyDescent="0.3">
      <c r="B23" s="209" t="s">
        <v>71</v>
      </c>
      <c r="C23" s="197" t="s">
        <v>51</v>
      </c>
      <c r="D23" s="110" t="s">
        <v>13</v>
      </c>
      <c r="E23" s="196" t="s">
        <v>57</v>
      </c>
      <c r="F23" s="196"/>
      <c r="G23" s="196"/>
      <c r="H23" s="196"/>
      <c r="I23" s="196"/>
      <c r="J23" s="43" t="s">
        <v>58</v>
      </c>
      <c r="K23" s="107" t="s">
        <v>59</v>
      </c>
      <c r="L23" s="44">
        <v>310773</v>
      </c>
      <c r="M23" s="44">
        <f>L23</f>
        <v>310773</v>
      </c>
      <c r="N23" s="45" t="s">
        <v>29</v>
      </c>
      <c r="O23" s="45" t="s">
        <v>0</v>
      </c>
      <c r="P23" s="44"/>
      <c r="Q23" s="44">
        <v>327143</v>
      </c>
      <c r="R23" s="24">
        <f t="shared" si="1"/>
        <v>1.0529999999999999</v>
      </c>
      <c r="S23" s="43"/>
    </row>
    <row r="24" spans="1:19" ht="31.5" x14ac:dyDescent="0.3">
      <c r="B24" s="209"/>
      <c r="C24" s="191"/>
      <c r="D24" s="110" t="s">
        <v>10</v>
      </c>
      <c r="E24" s="110" t="s">
        <v>55</v>
      </c>
      <c r="F24" s="110" t="s">
        <v>8</v>
      </c>
      <c r="G24" s="110" t="s">
        <v>7</v>
      </c>
      <c r="H24" s="110" t="s">
        <v>56</v>
      </c>
      <c r="I24" s="110" t="s">
        <v>5</v>
      </c>
      <c r="J24" s="43" t="s">
        <v>4</v>
      </c>
      <c r="K24" s="107" t="s">
        <v>3</v>
      </c>
      <c r="L24" s="45">
        <v>11567</v>
      </c>
      <c r="M24" s="45">
        <v>11843.1</v>
      </c>
      <c r="N24" s="45">
        <f>(M24)</f>
        <v>11843.1</v>
      </c>
      <c r="O24" s="24">
        <v>1</v>
      </c>
      <c r="P24" s="45"/>
      <c r="Q24" s="45">
        <v>11869.5</v>
      </c>
      <c r="R24" s="24">
        <f t="shared" si="1"/>
        <v>1.002</v>
      </c>
      <c r="S24" s="48"/>
    </row>
    <row r="25" spans="1:19" ht="31.5" x14ac:dyDescent="0.3">
      <c r="B25" s="209" t="s">
        <v>74</v>
      </c>
      <c r="C25" s="197" t="s">
        <v>60</v>
      </c>
      <c r="D25" s="110" t="s">
        <v>13</v>
      </c>
      <c r="E25" s="196" t="s">
        <v>61</v>
      </c>
      <c r="F25" s="196"/>
      <c r="G25" s="196"/>
      <c r="H25" s="196"/>
      <c r="I25" s="196"/>
      <c r="J25" s="49" t="s">
        <v>62</v>
      </c>
      <c r="K25" s="107" t="s">
        <v>59</v>
      </c>
      <c r="L25" s="44">
        <v>4772</v>
      </c>
      <c r="M25" s="44">
        <f>L25</f>
        <v>4772</v>
      </c>
      <c r="N25" s="45" t="s">
        <v>0</v>
      </c>
      <c r="O25" s="44" t="s">
        <v>0</v>
      </c>
      <c r="P25" s="44"/>
      <c r="Q25" s="44">
        <v>4807</v>
      </c>
      <c r="R25" s="24">
        <f t="shared" si="1"/>
        <v>1.0069999999999999</v>
      </c>
      <c r="S25" s="43"/>
    </row>
    <row r="26" spans="1:19" ht="31.5" x14ac:dyDescent="0.3">
      <c r="B26" s="209"/>
      <c r="C26" s="197"/>
      <c r="D26" s="110" t="s">
        <v>10</v>
      </c>
      <c r="E26" s="110" t="s">
        <v>55</v>
      </c>
      <c r="F26" s="110" t="s">
        <v>8</v>
      </c>
      <c r="G26" s="110" t="s">
        <v>7</v>
      </c>
      <c r="H26" s="110" t="s">
        <v>56</v>
      </c>
      <c r="I26" s="110" t="s">
        <v>5</v>
      </c>
      <c r="J26" s="49" t="s">
        <v>4</v>
      </c>
      <c r="K26" s="107" t="s">
        <v>3</v>
      </c>
      <c r="L26" s="50">
        <v>6461</v>
      </c>
      <c r="M26" s="50">
        <v>6615.2</v>
      </c>
      <c r="N26" s="45">
        <f t="shared" ref="N26" si="2">M26</f>
        <v>6615.2</v>
      </c>
      <c r="O26" s="24">
        <v>1</v>
      </c>
      <c r="P26" s="107"/>
      <c r="Q26" s="45">
        <v>6630.5</v>
      </c>
      <c r="R26" s="24">
        <f t="shared" si="1"/>
        <v>1.002</v>
      </c>
      <c r="S26" s="48"/>
    </row>
    <row r="27" spans="1:19" ht="31.5" x14ac:dyDescent="0.3">
      <c r="B27" s="209" t="s">
        <v>77</v>
      </c>
      <c r="C27" s="197" t="s">
        <v>63</v>
      </c>
      <c r="D27" s="110" t="s">
        <v>13</v>
      </c>
      <c r="E27" s="196" t="s">
        <v>64</v>
      </c>
      <c r="F27" s="196"/>
      <c r="G27" s="196"/>
      <c r="H27" s="196"/>
      <c r="I27" s="196"/>
      <c r="J27" s="49" t="s">
        <v>62</v>
      </c>
      <c r="K27" s="107" t="s">
        <v>59</v>
      </c>
      <c r="L27" s="44">
        <v>10845</v>
      </c>
      <c r="M27" s="44">
        <f>L27</f>
        <v>10845</v>
      </c>
      <c r="N27" s="45" t="s">
        <v>0</v>
      </c>
      <c r="O27" s="44" t="s">
        <v>0</v>
      </c>
      <c r="P27" s="107"/>
      <c r="Q27" s="45">
        <v>11345</v>
      </c>
      <c r="R27" s="24">
        <f t="shared" si="1"/>
        <v>1.046</v>
      </c>
      <c r="S27" s="48"/>
    </row>
    <row r="28" spans="1:19" ht="31.5" x14ac:dyDescent="0.3">
      <c r="B28" s="209"/>
      <c r="C28" s="197"/>
      <c r="D28" s="110" t="s">
        <v>10</v>
      </c>
      <c r="E28" s="110" t="s">
        <v>55</v>
      </c>
      <c r="F28" s="110" t="s">
        <v>8</v>
      </c>
      <c r="G28" s="110" t="s">
        <v>7</v>
      </c>
      <c r="H28" s="110" t="s">
        <v>56</v>
      </c>
      <c r="I28" s="110" t="s">
        <v>5</v>
      </c>
      <c r="J28" s="49" t="s">
        <v>4</v>
      </c>
      <c r="K28" s="107" t="s">
        <v>3</v>
      </c>
      <c r="L28" s="50">
        <v>9405</v>
      </c>
      <c r="M28" s="50">
        <v>9629.5</v>
      </c>
      <c r="N28" s="45">
        <f t="shared" ref="N28" si="3">M28</f>
        <v>9629.5</v>
      </c>
      <c r="O28" s="24">
        <v>1</v>
      </c>
      <c r="P28" s="107"/>
      <c r="Q28" s="45">
        <v>9651</v>
      </c>
      <c r="R28" s="24">
        <f t="shared" si="1"/>
        <v>1.002</v>
      </c>
      <c r="S28" s="48"/>
    </row>
    <row r="29" spans="1:19" ht="31.5" x14ac:dyDescent="0.3">
      <c r="B29" s="209" t="s">
        <v>79</v>
      </c>
      <c r="C29" s="197" t="s">
        <v>63</v>
      </c>
      <c r="D29" s="110" t="s">
        <v>13</v>
      </c>
      <c r="E29" s="196" t="s">
        <v>65</v>
      </c>
      <c r="F29" s="196"/>
      <c r="G29" s="196"/>
      <c r="H29" s="196"/>
      <c r="I29" s="196"/>
      <c r="J29" s="49" t="s">
        <v>66</v>
      </c>
      <c r="K29" s="107" t="s">
        <v>67</v>
      </c>
      <c r="L29" s="44">
        <v>489728</v>
      </c>
      <c r="M29" s="44">
        <f>L29</f>
        <v>489728</v>
      </c>
      <c r="N29" s="45" t="s">
        <v>0</v>
      </c>
      <c r="O29" s="44" t="s">
        <v>0</v>
      </c>
      <c r="P29" s="107"/>
      <c r="Q29" s="45">
        <v>490593</v>
      </c>
      <c r="R29" s="24">
        <f t="shared" si="1"/>
        <v>1.002</v>
      </c>
      <c r="S29" s="48"/>
    </row>
    <row r="30" spans="1:19" ht="31.5" x14ac:dyDescent="0.3">
      <c r="B30" s="209"/>
      <c r="C30" s="197"/>
      <c r="D30" s="110" t="s">
        <v>10</v>
      </c>
      <c r="E30" s="110" t="s">
        <v>55</v>
      </c>
      <c r="F30" s="110" t="s">
        <v>8</v>
      </c>
      <c r="G30" s="110" t="s">
        <v>7</v>
      </c>
      <c r="H30" s="110" t="s">
        <v>56</v>
      </c>
      <c r="I30" s="110" t="s">
        <v>5</v>
      </c>
      <c r="J30" s="49" t="s">
        <v>4</v>
      </c>
      <c r="K30" s="107" t="s">
        <v>3</v>
      </c>
      <c r="L30" s="50">
        <v>26210.5</v>
      </c>
      <c r="M30" s="50">
        <v>26836.1</v>
      </c>
      <c r="N30" s="45">
        <f t="shared" ref="N30" si="4">M30</f>
        <v>26836.1</v>
      </c>
      <c r="O30" s="24">
        <v>1</v>
      </c>
      <c r="P30" s="107"/>
      <c r="Q30" s="45">
        <v>26896</v>
      </c>
      <c r="R30" s="24">
        <f t="shared" si="1"/>
        <v>1.002</v>
      </c>
      <c r="S30" s="48"/>
    </row>
    <row r="31" spans="1:19" ht="31.5" x14ac:dyDescent="0.3">
      <c r="B31" s="209" t="s">
        <v>82</v>
      </c>
      <c r="C31" s="197" t="s">
        <v>69</v>
      </c>
      <c r="D31" s="110" t="s">
        <v>13</v>
      </c>
      <c r="E31" s="196" t="s">
        <v>70</v>
      </c>
      <c r="F31" s="196"/>
      <c r="G31" s="196"/>
      <c r="H31" s="196"/>
      <c r="I31" s="196"/>
      <c r="J31" s="49" t="s">
        <v>62</v>
      </c>
      <c r="K31" s="107" t="s">
        <v>59</v>
      </c>
      <c r="L31" s="44">
        <v>10502</v>
      </c>
      <c r="M31" s="44">
        <f>L31</f>
        <v>10502</v>
      </c>
      <c r="N31" s="45" t="s">
        <v>0</v>
      </c>
      <c r="O31" s="44" t="s">
        <v>0</v>
      </c>
      <c r="P31" s="107"/>
      <c r="Q31" s="45">
        <v>10539</v>
      </c>
      <c r="R31" s="24">
        <f t="shared" si="1"/>
        <v>1.004</v>
      </c>
      <c r="S31" s="48"/>
    </row>
    <row r="32" spans="1:19" ht="31.5" x14ac:dyDescent="0.3">
      <c r="B32" s="209"/>
      <c r="C32" s="197"/>
      <c r="D32" s="110" t="s">
        <v>10</v>
      </c>
      <c r="E32" s="110" t="s">
        <v>55</v>
      </c>
      <c r="F32" s="110" t="s">
        <v>8</v>
      </c>
      <c r="G32" s="110" t="s">
        <v>7</v>
      </c>
      <c r="H32" s="110" t="s">
        <v>56</v>
      </c>
      <c r="I32" s="110" t="s">
        <v>5</v>
      </c>
      <c r="J32" s="49" t="s">
        <v>4</v>
      </c>
      <c r="K32" s="107" t="s">
        <v>3</v>
      </c>
      <c r="L32" s="50">
        <v>9856.1</v>
      </c>
      <c r="M32" s="50">
        <v>10091.299999999999</v>
      </c>
      <c r="N32" s="45">
        <f t="shared" ref="N32" si="5">M32</f>
        <v>10091.299999999999</v>
      </c>
      <c r="O32" s="24">
        <v>1</v>
      </c>
      <c r="P32" s="107"/>
      <c r="Q32" s="45">
        <v>10113.799999999999</v>
      </c>
      <c r="R32" s="24">
        <f t="shared" si="1"/>
        <v>1.002</v>
      </c>
      <c r="S32" s="48"/>
    </row>
    <row r="33" spans="2:19" ht="31.5" x14ac:dyDescent="0.3">
      <c r="B33" s="209" t="s">
        <v>85</v>
      </c>
      <c r="C33" s="197" t="s">
        <v>69</v>
      </c>
      <c r="D33" s="110" t="s">
        <v>13</v>
      </c>
      <c r="E33" s="196" t="s">
        <v>72</v>
      </c>
      <c r="F33" s="196"/>
      <c r="G33" s="196"/>
      <c r="H33" s="196"/>
      <c r="I33" s="196"/>
      <c r="J33" s="49" t="s">
        <v>73</v>
      </c>
      <c r="K33" s="107" t="s">
        <v>54</v>
      </c>
      <c r="L33" s="44">
        <v>1478878</v>
      </c>
      <c r="M33" s="44">
        <f>L33</f>
        <v>1478878</v>
      </c>
      <c r="N33" s="45" t="s">
        <v>0</v>
      </c>
      <c r="O33" s="44" t="s">
        <v>0</v>
      </c>
      <c r="P33" s="107"/>
      <c r="Q33" s="45">
        <v>1503412</v>
      </c>
      <c r="R33" s="24">
        <f t="shared" si="1"/>
        <v>1.0169999999999999</v>
      </c>
      <c r="S33" s="48"/>
    </row>
    <row r="34" spans="2:19" ht="31.5" x14ac:dyDescent="0.3">
      <c r="B34" s="209"/>
      <c r="C34" s="197"/>
      <c r="D34" s="110" t="s">
        <v>10</v>
      </c>
      <c r="E34" s="110" t="s">
        <v>55</v>
      </c>
      <c r="F34" s="110" t="s">
        <v>8</v>
      </c>
      <c r="G34" s="110" t="s">
        <v>7</v>
      </c>
      <c r="H34" s="110" t="s">
        <v>56</v>
      </c>
      <c r="I34" s="110" t="s">
        <v>5</v>
      </c>
      <c r="J34" s="49" t="s">
        <v>4</v>
      </c>
      <c r="K34" s="107" t="s">
        <v>3</v>
      </c>
      <c r="L34" s="50">
        <v>26594.400000000001</v>
      </c>
      <c r="M34" s="50">
        <v>27229.1</v>
      </c>
      <c r="N34" s="45">
        <f t="shared" ref="N34" si="6">M34</f>
        <v>27229.1</v>
      </c>
      <c r="O34" s="24">
        <v>1</v>
      </c>
      <c r="P34" s="107"/>
      <c r="Q34" s="45">
        <v>27289.9</v>
      </c>
      <c r="R34" s="24">
        <f t="shared" si="1"/>
        <v>1.002</v>
      </c>
      <c r="S34" s="48"/>
    </row>
    <row r="35" spans="2:19" ht="31.5" x14ac:dyDescent="0.3">
      <c r="B35" s="209" t="s">
        <v>88</v>
      </c>
      <c r="C35" s="197" t="s">
        <v>75</v>
      </c>
      <c r="D35" s="110" t="s">
        <v>13</v>
      </c>
      <c r="E35" s="196" t="s">
        <v>76</v>
      </c>
      <c r="F35" s="196"/>
      <c r="G35" s="196"/>
      <c r="H35" s="196"/>
      <c r="I35" s="196"/>
      <c r="J35" s="49" t="s">
        <v>62</v>
      </c>
      <c r="K35" s="107" t="s">
        <v>59</v>
      </c>
      <c r="L35" s="44">
        <v>44</v>
      </c>
      <c r="M35" s="44">
        <f>L35</f>
        <v>44</v>
      </c>
      <c r="N35" s="45" t="s">
        <v>0</v>
      </c>
      <c r="O35" s="44" t="s">
        <v>0</v>
      </c>
      <c r="P35" s="107"/>
      <c r="Q35" s="45">
        <v>44</v>
      </c>
      <c r="R35" s="24">
        <f t="shared" si="1"/>
        <v>1</v>
      </c>
      <c r="S35" s="48"/>
    </row>
    <row r="36" spans="2:19" ht="18.75" customHeight="1" x14ac:dyDescent="0.3">
      <c r="B36" s="209"/>
      <c r="C36" s="197"/>
      <c r="D36" s="110" t="s">
        <v>10</v>
      </c>
      <c r="E36" s="110" t="s">
        <v>55</v>
      </c>
      <c r="F36" s="110" t="s">
        <v>8</v>
      </c>
      <c r="G36" s="110" t="s">
        <v>7</v>
      </c>
      <c r="H36" s="110" t="s">
        <v>56</v>
      </c>
      <c r="I36" s="110" t="s">
        <v>5</v>
      </c>
      <c r="J36" s="49" t="s">
        <v>4</v>
      </c>
      <c r="K36" s="107" t="s">
        <v>3</v>
      </c>
      <c r="L36" s="50">
        <v>240.7</v>
      </c>
      <c r="M36" s="50">
        <v>246.5</v>
      </c>
      <c r="N36" s="45">
        <f t="shared" ref="N36" si="7">M36</f>
        <v>246.5</v>
      </c>
      <c r="O36" s="24">
        <v>1</v>
      </c>
      <c r="P36" s="107"/>
      <c r="Q36" s="28">
        <v>246.5</v>
      </c>
      <c r="R36" s="24">
        <f t="shared" si="1"/>
        <v>1</v>
      </c>
      <c r="S36" s="48"/>
    </row>
    <row r="37" spans="2:19" ht="31.5" x14ac:dyDescent="0.3">
      <c r="B37" s="209" t="s">
        <v>91</v>
      </c>
      <c r="C37" s="197" t="s">
        <v>75</v>
      </c>
      <c r="D37" s="110" t="s">
        <v>13</v>
      </c>
      <c r="E37" s="196" t="s">
        <v>78</v>
      </c>
      <c r="F37" s="196"/>
      <c r="G37" s="196"/>
      <c r="H37" s="196"/>
      <c r="I37" s="196"/>
      <c r="J37" s="49" t="s">
        <v>73</v>
      </c>
      <c r="K37" s="107" t="s">
        <v>54</v>
      </c>
      <c r="L37" s="44">
        <v>1100</v>
      </c>
      <c r="M37" s="44">
        <f>L37</f>
        <v>1100</v>
      </c>
      <c r="N37" s="45" t="s">
        <v>0</v>
      </c>
      <c r="O37" s="44" t="s">
        <v>0</v>
      </c>
      <c r="P37" s="107"/>
      <c r="Q37" s="45">
        <v>1115</v>
      </c>
      <c r="R37" s="24">
        <f t="shared" si="1"/>
        <v>1.014</v>
      </c>
      <c r="S37" s="48"/>
    </row>
    <row r="38" spans="2:19" ht="31.5" x14ac:dyDescent="0.3">
      <c r="B38" s="209"/>
      <c r="C38" s="197"/>
      <c r="D38" s="110" t="s">
        <v>10</v>
      </c>
      <c r="E38" s="110" t="s">
        <v>55</v>
      </c>
      <c r="F38" s="110" t="s">
        <v>8</v>
      </c>
      <c r="G38" s="110" t="s">
        <v>7</v>
      </c>
      <c r="H38" s="110" t="s">
        <v>56</v>
      </c>
      <c r="I38" s="110" t="s">
        <v>5</v>
      </c>
      <c r="J38" s="49" t="s">
        <v>4</v>
      </c>
      <c r="K38" s="107" t="s">
        <v>3</v>
      </c>
      <c r="L38" s="50">
        <v>666.3</v>
      </c>
      <c r="M38" s="50">
        <v>682.2</v>
      </c>
      <c r="N38" s="45">
        <f t="shared" ref="N38" si="8">M38</f>
        <v>682.2</v>
      </c>
      <c r="O38" s="24">
        <v>1</v>
      </c>
      <c r="P38" s="107"/>
      <c r="Q38" s="45">
        <v>683.7</v>
      </c>
      <c r="R38" s="24">
        <f t="shared" si="1"/>
        <v>1.002</v>
      </c>
      <c r="S38" s="48"/>
    </row>
    <row r="39" spans="2:19" ht="31.5" x14ac:dyDescent="0.3">
      <c r="B39" s="209" t="s">
        <v>297</v>
      </c>
      <c r="C39" s="197" t="s">
        <v>80</v>
      </c>
      <c r="D39" s="110" t="s">
        <v>13</v>
      </c>
      <c r="E39" s="196" t="s">
        <v>81</v>
      </c>
      <c r="F39" s="196"/>
      <c r="G39" s="196"/>
      <c r="H39" s="196"/>
      <c r="I39" s="196"/>
      <c r="J39" s="49" t="s">
        <v>62</v>
      </c>
      <c r="K39" s="107" t="s">
        <v>59</v>
      </c>
      <c r="L39" s="44">
        <v>1499</v>
      </c>
      <c r="M39" s="44">
        <f>L39</f>
        <v>1499</v>
      </c>
      <c r="N39" s="45" t="s">
        <v>0</v>
      </c>
      <c r="O39" s="44" t="s">
        <v>0</v>
      </c>
      <c r="P39" s="107"/>
      <c r="Q39" s="45">
        <v>1506</v>
      </c>
      <c r="R39" s="24">
        <f t="shared" si="1"/>
        <v>1.0049999999999999</v>
      </c>
      <c r="S39" s="48"/>
    </row>
    <row r="40" spans="2:19" ht="31.5" x14ac:dyDescent="0.3">
      <c r="B40" s="209"/>
      <c r="C40" s="197"/>
      <c r="D40" s="110" t="s">
        <v>10</v>
      </c>
      <c r="E40" s="110" t="s">
        <v>55</v>
      </c>
      <c r="F40" s="110" t="s">
        <v>8</v>
      </c>
      <c r="G40" s="110" t="s">
        <v>7</v>
      </c>
      <c r="H40" s="110" t="s">
        <v>56</v>
      </c>
      <c r="I40" s="110" t="s">
        <v>5</v>
      </c>
      <c r="J40" s="49" t="s">
        <v>4</v>
      </c>
      <c r="K40" s="107" t="s">
        <v>3</v>
      </c>
      <c r="L40" s="50">
        <v>12051.1</v>
      </c>
      <c r="M40" s="50">
        <v>12338.7</v>
      </c>
      <c r="N40" s="45">
        <f t="shared" ref="N40" si="9">M40</f>
        <v>12338.7</v>
      </c>
      <c r="O40" s="24">
        <v>1</v>
      </c>
      <c r="P40" s="107"/>
      <c r="Q40" s="45">
        <v>12366.3</v>
      </c>
      <c r="R40" s="24">
        <f t="shared" si="1"/>
        <v>1.002</v>
      </c>
      <c r="S40" s="48"/>
    </row>
    <row r="41" spans="2:19" ht="31.5" x14ac:dyDescent="0.3">
      <c r="B41" s="209" t="s">
        <v>298</v>
      </c>
      <c r="C41" s="197" t="s">
        <v>83</v>
      </c>
      <c r="D41" s="110" t="s">
        <v>13</v>
      </c>
      <c r="E41" s="196" t="s">
        <v>84</v>
      </c>
      <c r="F41" s="196"/>
      <c r="G41" s="196"/>
      <c r="H41" s="196"/>
      <c r="I41" s="196"/>
      <c r="J41" s="49" t="s">
        <v>62</v>
      </c>
      <c r="K41" s="107" t="s">
        <v>59</v>
      </c>
      <c r="L41" s="44">
        <v>610</v>
      </c>
      <c r="M41" s="44">
        <f>L41</f>
        <v>610</v>
      </c>
      <c r="N41" s="45" t="s">
        <v>0</v>
      </c>
      <c r="O41" s="44" t="s">
        <v>0</v>
      </c>
      <c r="P41" s="107"/>
      <c r="Q41" s="45">
        <v>615</v>
      </c>
      <c r="R41" s="24">
        <f t="shared" si="1"/>
        <v>1.008</v>
      </c>
      <c r="S41" s="48"/>
    </row>
    <row r="42" spans="2:19" ht="31.5" x14ac:dyDescent="0.3">
      <c r="B42" s="209"/>
      <c r="C42" s="197"/>
      <c r="D42" s="110" t="s">
        <v>10</v>
      </c>
      <c r="E42" s="110" t="s">
        <v>55</v>
      </c>
      <c r="F42" s="110" t="s">
        <v>8</v>
      </c>
      <c r="G42" s="110" t="s">
        <v>7</v>
      </c>
      <c r="H42" s="110" t="s">
        <v>56</v>
      </c>
      <c r="I42" s="110" t="s">
        <v>5</v>
      </c>
      <c r="J42" s="49" t="s">
        <v>4</v>
      </c>
      <c r="K42" s="107" t="s">
        <v>3</v>
      </c>
      <c r="L42" s="50">
        <v>7802.3</v>
      </c>
      <c r="M42" s="50">
        <v>7988.5</v>
      </c>
      <c r="N42" s="45">
        <f t="shared" ref="N42" si="10">M42</f>
        <v>7988.5</v>
      </c>
      <c r="O42" s="24">
        <v>1</v>
      </c>
      <c r="P42" s="107"/>
      <c r="Q42" s="45">
        <v>8006.3</v>
      </c>
      <c r="R42" s="24">
        <f t="shared" si="1"/>
        <v>1.002</v>
      </c>
      <c r="S42" s="48"/>
    </row>
    <row r="43" spans="2:19" ht="31.5" x14ac:dyDescent="0.3">
      <c r="B43" s="209" t="s">
        <v>302</v>
      </c>
      <c r="C43" s="197" t="s">
        <v>86</v>
      </c>
      <c r="D43" s="110" t="s">
        <v>13</v>
      </c>
      <c r="E43" s="196" t="s">
        <v>87</v>
      </c>
      <c r="F43" s="196"/>
      <c r="G43" s="196"/>
      <c r="H43" s="196"/>
      <c r="I43" s="196"/>
      <c r="J43" s="49" t="s">
        <v>62</v>
      </c>
      <c r="K43" s="107" t="s">
        <v>59</v>
      </c>
      <c r="L43" s="44">
        <v>29770</v>
      </c>
      <c r="M43" s="44">
        <f>L43</f>
        <v>29770</v>
      </c>
      <c r="N43" s="45" t="s">
        <v>0</v>
      </c>
      <c r="O43" s="44" t="s">
        <v>0</v>
      </c>
      <c r="P43" s="107"/>
      <c r="Q43" s="45">
        <v>30505</v>
      </c>
      <c r="R43" s="24">
        <f t="shared" si="1"/>
        <v>1.0249999999999999</v>
      </c>
      <c r="S43" s="48"/>
    </row>
    <row r="44" spans="2:19" ht="31.5" x14ac:dyDescent="0.3">
      <c r="B44" s="209"/>
      <c r="C44" s="197"/>
      <c r="D44" s="110" t="s">
        <v>10</v>
      </c>
      <c r="E44" s="110" t="s">
        <v>55</v>
      </c>
      <c r="F44" s="110" t="s">
        <v>8</v>
      </c>
      <c r="G44" s="110" t="s">
        <v>7</v>
      </c>
      <c r="H44" s="110" t="s">
        <v>56</v>
      </c>
      <c r="I44" s="110" t="s">
        <v>5</v>
      </c>
      <c r="J44" s="49" t="s">
        <v>4</v>
      </c>
      <c r="K44" s="107" t="s">
        <v>3</v>
      </c>
      <c r="L44" s="50">
        <v>13503.8</v>
      </c>
      <c r="M44" s="50">
        <v>13826.1</v>
      </c>
      <c r="N44" s="45">
        <f t="shared" ref="N44" si="11">M44</f>
        <v>13826.1</v>
      </c>
      <c r="O44" s="24">
        <v>1</v>
      </c>
      <c r="P44" s="107"/>
      <c r="Q44" s="45">
        <v>13857</v>
      </c>
      <c r="R44" s="24">
        <f t="shared" si="1"/>
        <v>1.002</v>
      </c>
      <c r="S44" s="48"/>
    </row>
    <row r="45" spans="2:19" ht="31.5" x14ac:dyDescent="0.3">
      <c r="B45" s="209" t="s">
        <v>456</v>
      </c>
      <c r="C45" s="197" t="s">
        <v>89</v>
      </c>
      <c r="D45" s="110" t="s">
        <v>13</v>
      </c>
      <c r="E45" s="196" t="s">
        <v>90</v>
      </c>
      <c r="F45" s="196"/>
      <c r="G45" s="196"/>
      <c r="H45" s="196"/>
      <c r="I45" s="196"/>
      <c r="J45" s="43" t="s">
        <v>58</v>
      </c>
      <c r="K45" s="107" t="s">
        <v>59</v>
      </c>
      <c r="L45" s="44">
        <v>1803</v>
      </c>
      <c r="M45" s="44">
        <f>L45</f>
        <v>1803</v>
      </c>
      <c r="N45" s="45" t="s">
        <v>0</v>
      </c>
      <c r="O45" s="44" t="s">
        <v>0</v>
      </c>
      <c r="P45" s="107"/>
      <c r="Q45" s="45">
        <v>2042</v>
      </c>
      <c r="R45" s="24">
        <f t="shared" si="1"/>
        <v>1.133</v>
      </c>
      <c r="S45" s="48"/>
    </row>
    <row r="46" spans="2:19" ht="31.5" x14ac:dyDescent="0.3">
      <c r="B46" s="209"/>
      <c r="C46" s="197"/>
      <c r="D46" s="110" t="s">
        <v>10</v>
      </c>
      <c r="E46" s="110" t="s">
        <v>55</v>
      </c>
      <c r="F46" s="110" t="s">
        <v>8</v>
      </c>
      <c r="G46" s="110" t="s">
        <v>7</v>
      </c>
      <c r="H46" s="110" t="s">
        <v>56</v>
      </c>
      <c r="I46" s="110" t="s">
        <v>5</v>
      </c>
      <c r="J46" s="49" t="s">
        <v>4</v>
      </c>
      <c r="K46" s="107" t="s">
        <v>3</v>
      </c>
      <c r="L46" s="50">
        <v>1890.2</v>
      </c>
      <c r="M46" s="50">
        <v>1935.3</v>
      </c>
      <c r="N46" s="45">
        <f t="shared" ref="N46" si="12">M46</f>
        <v>1935.3</v>
      </c>
      <c r="O46" s="24">
        <v>1</v>
      </c>
      <c r="P46" s="107"/>
      <c r="Q46" s="45">
        <v>1939.6</v>
      </c>
      <c r="R46" s="24">
        <f t="shared" si="1"/>
        <v>1.002</v>
      </c>
      <c r="S46" s="48"/>
    </row>
    <row r="47" spans="2:19" ht="31.5" x14ac:dyDescent="0.3">
      <c r="B47" s="209" t="s">
        <v>457</v>
      </c>
      <c r="C47" s="197" t="s">
        <v>92</v>
      </c>
      <c r="D47" s="110" t="s">
        <v>13</v>
      </c>
      <c r="E47" s="196" t="s">
        <v>93</v>
      </c>
      <c r="F47" s="196"/>
      <c r="G47" s="196"/>
      <c r="H47" s="196"/>
      <c r="I47" s="196"/>
      <c r="J47" s="49" t="s">
        <v>66</v>
      </c>
      <c r="K47" s="107" t="s">
        <v>67</v>
      </c>
      <c r="L47" s="44">
        <v>1818</v>
      </c>
      <c r="M47" s="44">
        <f>L47</f>
        <v>1818</v>
      </c>
      <c r="N47" s="45" t="s">
        <v>0</v>
      </c>
      <c r="O47" s="44" t="s">
        <v>0</v>
      </c>
      <c r="P47" s="107"/>
      <c r="Q47" s="45">
        <v>2059</v>
      </c>
      <c r="R47" s="24">
        <f t="shared" si="1"/>
        <v>1.133</v>
      </c>
      <c r="S47" s="48"/>
    </row>
    <row r="48" spans="2:19" ht="31.5" x14ac:dyDescent="0.3">
      <c r="B48" s="209"/>
      <c r="C48" s="197"/>
      <c r="D48" s="110" t="s">
        <v>10</v>
      </c>
      <c r="E48" s="110" t="s">
        <v>55</v>
      </c>
      <c r="F48" s="110" t="s">
        <v>8</v>
      </c>
      <c r="G48" s="110" t="s">
        <v>7</v>
      </c>
      <c r="H48" s="110" t="s">
        <v>56</v>
      </c>
      <c r="I48" s="110" t="s">
        <v>5</v>
      </c>
      <c r="J48" s="49" t="s">
        <v>4</v>
      </c>
      <c r="K48" s="107" t="s">
        <v>3</v>
      </c>
      <c r="L48" s="50">
        <v>5119.8999999999996</v>
      </c>
      <c r="M48" s="50">
        <v>5242.1000000000004</v>
      </c>
      <c r="N48" s="45">
        <f t="shared" ref="N48" si="13">M48</f>
        <v>5242.1000000000004</v>
      </c>
      <c r="O48" s="24">
        <v>1</v>
      </c>
      <c r="P48" s="107"/>
      <c r="Q48" s="45">
        <v>5253.8</v>
      </c>
      <c r="R48" s="24">
        <f t="shared" si="1"/>
        <v>1.002</v>
      </c>
      <c r="S48" s="48"/>
    </row>
    <row r="49" spans="2:19" x14ac:dyDescent="0.3">
      <c r="B49" s="109"/>
      <c r="C49" s="51" t="s">
        <v>1</v>
      </c>
      <c r="D49" s="52"/>
      <c r="E49" s="52"/>
      <c r="F49" s="52"/>
      <c r="G49" s="52"/>
      <c r="H49" s="52"/>
      <c r="I49" s="52"/>
      <c r="J49" s="53"/>
      <c r="K49" s="16"/>
      <c r="L49" s="40">
        <f>L22+L24+L26+L28+L30+L32+L34+L36+L38+L40+L42+L44+L46+L48</f>
        <v>150043.6</v>
      </c>
      <c r="M49" s="40">
        <f>M22+M24+M26+M28+M30+M32+M34+M36+M38+M40+M42+M44+M46+M48</f>
        <v>153624.79999999999</v>
      </c>
      <c r="N49" s="40">
        <f>N22+N24+N26+N28+N30+N32+N34+N36+N38+N40+N42+N44+N46+N48</f>
        <v>153624.79999999999</v>
      </c>
      <c r="O49" s="24">
        <v>1</v>
      </c>
      <c r="P49" s="55"/>
      <c r="Q49" s="40">
        <f>Q22+Q24+Q26+Q28+Q30+Q32+Q34+Q36+Q38+Q40+Q42+Q44+Q46+Q48</f>
        <v>153967.70000000001</v>
      </c>
      <c r="R49" s="24">
        <f t="shared" si="1"/>
        <v>1.002</v>
      </c>
      <c r="S49" s="42"/>
    </row>
    <row r="50" spans="2:19" x14ac:dyDescent="0.3">
      <c r="B50" s="109"/>
      <c r="C50" s="51" t="s">
        <v>2</v>
      </c>
      <c r="D50" s="52"/>
      <c r="E50" s="52"/>
      <c r="F50" s="52"/>
      <c r="G50" s="52"/>
      <c r="H50" s="52"/>
      <c r="I50" s="52"/>
      <c r="J50" s="53"/>
      <c r="K50" s="16"/>
      <c r="L50" s="55">
        <f>L49+L20</f>
        <v>177405.6</v>
      </c>
      <c r="M50" s="55">
        <f>M49+M20</f>
        <v>181475.9</v>
      </c>
      <c r="N50" s="55">
        <f>N49+N20</f>
        <v>181475.9</v>
      </c>
      <c r="O50" s="132">
        <v>1</v>
      </c>
      <c r="P50" s="55"/>
      <c r="Q50" s="55">
        <f>Q49+Q20</f>
        <v>181818.8</v>
      </c>
      <c r="R50" s="132">
        <f t="shared" si="1"/>
        <v>1.002</v>
      </c>
      <c r="S50" s="42"/>
    </row>
    <row r="51" spans="2:19" ht="18.75" customHeight="1" x14ac:dyDescent="0.3">
      <c r="B51" s="56" t="s">
        <v>652</v>
      </c>
      <c r="C51" s="237" t="s">
        <v>94</v>
      </c>
      <c r="D51" s="238"/>
      <c r="E51" s="238"/>
      <c r="F51" s="238"/>
      <c r="G51" s="238"/>
      <c r="H51" s="238"/>
      <c r="I51" s="238"/>
      <c r="J51" s="238"/>
      <c r="K51" s="238"/>
      <c r="L51" s="156"/>
      <c r="M51" s="157"/>
      <c r="N51" s="155"/>
      <c r="O51" s="155"/>
      <c r="P51" s="155"/>
      <c r="Q51" s="155"/>
      <c r="R51" s="155"/>
      <c r="S51" s="155"/>
    </row>
    <row r="52" spans="2:19" ht="63" x14ac:dyDescent="0.3">
      <c r="B52" s="190" t="s">
        <v>653</v>
      </c>
      <c r="C52" s="236" t="s">
        <v>95</v>
      </c>
      <c r="D52" s="116" t="s">
        <v>13</v>
      </c>
      <c r="E52" s="192" t="s">
        <v>96</v>
      </c>
      <c r="F52" s="192"/>
      <c r="G52" s="192"/>
      <c r="H52" s="192"/>
      <c r="I52" s="192"/>
      <c r="J52" s="57" t="s">
        <v>97</v>
      </c>
      <c r="K52" s="58" t="s">
        <v>98</v>
      </c>
      <c r="L52" s="44">
        <v>16</v>
      </c>
      <c r="M52" s="44">
        <v>16</v>
      </c>
      <c r="N52" s="45" t="s">
        <v>0</v>
      </c>
      <c r="O52" s="44" t="s">
        <v>0</v>
      </c>
      <c r="P52" s="59"/>
      <c r="Q52" s="59">
        <v>20</v>
      </c>
      <c r="R52" s="24">
        <f t="shared" ref="R52:R88" si="14">Q52/M52</f>
        <v>1.25</v>
      </c>
      <c r="S52" s="57" t="s">
        <v>643</v>
      </c>
    </row>
    <row r="53" spans="2:19" ht="31.5" x14ac:dyDescent="0.3">
      <c r="B53" s="190"/>
      <c r="C53" s="236"/>
      <c r="D53" s="61" t="s">
        <v>10</v>
      </c>
      <c r="E53" s="115" t="s">
        <v>99</v>
      </c>
      <c r="F53" s="115" t="s">
        <v>8</v>
      </c>
      <c r="G53" s="115" t="s">
        <v>100</v>
      </c>
      <c r="H53" s="115" t="s">
        <v>101</v>
      </c>
      <c r="I53" s="115" t="s">
        <v>5</v>
      </c>
      <c r="J53" s="62" t="s">
        <v>4</v>
      </c>
      <c r="K53" s="58" t="s">
        <v>3</v>
      </c>
      <c r="L53" s="45">
        <f>2238.78233-66.086</f>
        <v>2172.6999999999998</v>
      </c>
      <c r="M53" s="45">
        <v>2196.4</v>
      </c>
      <c r="N53" s="45">
        <v>2196.4</v>
      </c>
      <c r="O53" s="24">
        <f>N53/M53</f>
        <v>1</v>
      </c>
      <c r="P53" s="63"/>
      <c r="Q53" s="63">
        <v>1853</v>
      </c>
      <c r="R53" s="24">
        <f t="shared" si="14"/>
        <v>0.84399999999999997</v>
      </c>
      <c r="S53" s="57"/>
    </row>
    <row r="54" spans="2:19" ht="78.75" x14ac:dyDescent="0.3">
      <c r="B54" s="190" t="s">
        <v>654</v>
      </c>
      <c r="C54" s="191" t="s">
        <v>102</v>
      </c>
      <c r="D54" s="116" t="s">
        <v>13</v>
      </c>
      <c r="E54" s="192" t="s">
        <v>103</v>
      </c>
      <c r="F54" s="192"/>
      <c r="G54" s="192"/>
      <c r="H54" s="192"/>
      <c r="I54" s="192"/>
      <c r="J54" s="57" t="s">
        <v>104</v>
      </c>
      <c r="K54" s="58" t="s">
        <v>105</v>
      </c>
      <c r="L54" s="44">
        <v>515</v>
      </c>
      <c r="M54" s="44">
        <v>490</v>
      </c>
      <c r="N54" s="45" t="s">
        <v>29</v>
      </c>
      <c r="O54" s="45" t="s">
        <v>0</v>
      </c>
      <c r="P54" s="59"/>
      <c r="Q54" s="59">
        <v>873</v>
      </c>
      <c r="R54" s="24">
        <f t="shared" si="14"/>
        <v>1.782</v>
      </c>
      <c r="S54" s="57" t="s">
        <v>106</v>
      </c>
    </row>
    <row r="55" spans="2:19" ht="31.5" x14ac:dyDescent="0.3">
      <c r="B55" s="190"/>
      <c r="C55" s="191"/>
      <c r="D55" s="116" t="s">
        <v>10</v>
      </c>
      <c r="E55" s="115" t="s">
        <v>99</v>
      </c>
      <c r="F55" s="115" t="s">
        <v>8</v>
      </c>
      <c r="G55" s="115" t="s">
        <v>100</v>
      </c>
      <c r="H55" s="115" t="s">
        <v>101</v>
      </c>
      <c r="I55" s="115" t="s">
        <v>5</v>
      </c>
      <c r="J55" s="57" t="s">
        <v>4</v>
      </c>
      <c r="K55" s="58" t="s">
        <v>3</v>
      </c>
      <c r="L55" s="45">
        <v>2267.6</v>
      </c>
      <c r="M55" s="45">
        <f>2340.97645-5.14851+7.45962</f>
        <v>2343.3000000000002</v>
      </c>
      <c r="N55" s="45">
        <v>2343.3000000000002</v>
      </c>
      <c r="O55" s="24">
        <f t="shared" ref="O55:O56" si="15">N55/M55</f>
        <v>1</v>
      </c>
      <c r="P55" s="64"/>
      <c r="Q55" s="63">
        <v>1976.9</v>
      </c>
      <c r="R55" s="24">
        <f t="shared" si="14"/>
        <v>0.84399999999999997</v>
      </c>
      <c r="S55" s="64"/>
    </row>
    <row r="56" spans="2:19" ht="31.5" x14ac:dyDescent="0.3">
      <c r="B56" s="190"/>
      <c r="C56" s="191"/>
      <c r="D56" s="116" t="s">
        <v>10</v>
      </c>
      <c r="E56" s="115" t="s">
        <v>99</v>
      </c>
      <c r="F56" s="115" t="s">
        <v>8</v>
      </c>
      <c r="G56" s="115" t="s">
        <v>100</v>
      </c>
      <c r="H56" s="115" t="s">
        <v>107</v>
      </c>
      <c r="I56" s="115" t="s">
        <v>5</v>
      </c>
      <c r="J56" s="57" t="s">
        <v>4</v>
      </c>
      <c r="K56" s="58" t="s">
        <v>3</v>
      </c>
      <c r="L56" s="65">
        <v>800</v>
      </c>
      <c r="M56" s="45">
        <v>732</v>
      </c>
      <c r="N56" s="45">
        <v>732</v>
      </c>
      <c r="O56" s="24">
        <f t="shared" si="15"/>
        <v>1</v>
      </c>
      <c r="P56" s="64"/>
      <c r="Q56" s="63">
        <v>732</v>
      </c>
      <c r="R56" s="24">
        <f t="shared" si="14"/>
        <v>1</v>
      </c>
      <c r="S56" s="64"/>
    </row>
    <row r="57" spans="2:19" ht="110.25" x14ac:dyDescent="0.3">
      <c r="B57" s="190" t="s">
        <v>655</v>
      </c>
      <c r="C57" s="191" t="s">
        <v>108</v>
      </c>
      <c r="D57" s="116" t="s">
        <v>13</v>
      </c>
      <c r="E57" s="192" t="s">
        <v>109</v>
      </c>
      <c r="F57" s="192"/>
      <c r="G57" s="192"/>
      <c r="H57" s="192"/>
      <c r="I57" s="192"/>
      <c r="J57" s="62" t="s">
        <v>110</v>
      </c>
      <c r="K57" s="58" t="s">
        <v>98</v>
      </c>
      <c r="L57" s="44">
        <v>124</v>
      </c>
      <c r="M57" s="44">
        <v>124</v>
      </c>
      <c r="N57" s="45" t="s">
        <v>0</v>
      </c>
      <c r="O57" s="44" t="s">
        <v>0</v>
      </c>
      <c r="P57" s="59"/>
      <c r="Q57" s="59">
        <v>140</v>
      </c>
      <c r="R57" s="24">
        <f t="shared" si="14"/>
        <v>1.129</v>
      </c>
      <c r="S57" s="57"/>
    </row>
    <row r="58" spans="2:19" ht="31.5" x14ac:dyDescent="0.3">
      <c r="B58" s="190"/>
      <c r="C58" s="191"/>
      <c r="D58" s="116" t="s">
        <v>10</v>
      </c>
      <c r="E58" s="115" t="s">
        <v>99</v>
      </c>
      <c r="F58" s="115" t="s">
        <v>8</v>
      </c>
      <c r="G58" s="115" t="s">
        <v>100</v>
      </c>
      <c r="H58" s="115" t="s">
        <v>101</v>
      </c>
      <c r="I58" s="115" t="s">
        <v>5</v>
      </c>
      <c r="J58" s="62" t="s">
        <v>4</v>
      </c>
      <c r="K58" s="58" t="s">
        <v>3</v>
      </c>
      <c r="L58" s="45">
        <v>2163.5</v>
      </c>
      <c r="M58" s="50">
        <f>2216.2326-3.71311+5.37988</f>
        <v>2217.9</v>
      </c>
      <c r="N58" s="50">
        <v>2217.9</v>
      </c>
      <c r="O58" s="24">
        <f>N58/M58</f>
        <v>1</v>
      </c>
      <c r="P58" s="58"/>
      <c r="Q58" s="63">
        <v>1871.1</v>
      </c>
      <c r="R58" s="24">
        <f t="shared" si="14"/>
        <v>0.84399999999999997</v>
      </c>
      <c r="S58" s="66"/>
    </row>
    <row r="59" spans="2:19" ht="89.25" customHeight="1" x14ac:dyDescent="0.3">
      <c r="B59" s="190" t="s">
        <v>458</v>
      </c>
      <c r="C59" s="191" t="s">
        <v>111</v>
      </c>
      <c r="D59" s="116" t="s">
        <v>13</v>
      </c>
      <c r="E59" s="192" t="s">
        <v>112</v>
      </c>
      <c r="F59" s="192"/>
      <c r="G59" s="192"/>
      <c r="H59" s="192"/>
      <c r="I59" s="192"/>
      <c r="J59" s="62" t="s">
        <v>642</v>
      </c>
      <c r="K59" s="58" t="s">
        <v>59</v>
      </c>
      <c r="L59" s="44">
        <v>12</v>
      </c>
      <c r="M59" s="44">
        <v>12</v>
      </c>
      <c r="N59" s="45" t="s">
        <v>0</v>
      </c>
      <c r="O59" s="44" t="s">
        <v>0</v>
      </c>
      <c r="P59" s="59"/>
      <c r="Q59" s="59">
        <v>12</v>
      </c>
      <c r="R59" s="24">
        <f t="shared" si="14"/>
        <v>1</v>
      </c>
      <c r="S59" s="57"/>
    </row>
    <row r="60" spans="2:19" ht="114" customHeight="1" x14ac:dyDescent="0.3">
      <c r="B60" s="190"/>
      <c r="C60" s="191"/>
      <c r="D60" s="116" t="s">
        <v>10</v>
      </c>
      <c r="E60" s="115" t="s">
        <v>99</v>
      </c>
      <c r="F60" s="115" t="s">
        <v>8</v>
      </c>
      <c r="G60" s="115" t="s">
        <v>100</v>
      </c>
      <c r="H60" s="115" t="s">
        <v>101</v>
      </c>
      <c r="I60" s="115" t="s">
        <v>5</v>
      </c>
      <c r="J60" s="62" t="s">
        <v>4</v>
      </c>
      <c r="K60" s="58" t="s">
        <v>3</v>
      </c>
      <c r="L60" s="50">
        <v>2163.5</v>
      </c>
      <c r="M60" s="50">
        <f>2216.2326-3.71311+5.37988</f>
        <v>2217.9</v>
      </c>
      <c r="N60" s="50">
        <v>2217.9</v>
      </c>
      <c r="O60" s="24">
        <f>N60/M60</f>
        <v>1</v>
      </c>
      <c r="P60" s="58"/>
      <c r="Q60" s="63">
        <v>1871.1</v>
      </c>
      <c r="R60" s="24">
        <f t="shared" si="14"/>
        <v>0.84399999999999997</v>
      </c>
      <c r="S60" s="66"/>
    </row>
    <row r="61" spans="2:19" ht="110.25" x14ac:dyDescent="0.3">
      <c r="B61" s="190" t="s">
        <v>656</v>
      </c>
      <c r="C61" s="191" t="s">
        <v>113</v>
      </c>
      <c r="D61" s="116" t="s">
        <v>13</v>
      </c>
      <c r="E61" s="192" t="s">
        <v>114</v>
      </c>
      <c r="F61" s="192"/>
      <c r="G61" s="192"/>
      <c r="H61" s="192"/>
      <c r="I61" s="192"/>
      <c r="J61" s="62" t="s">
        <v>115</v>
      </c>
      <c r="K61" s="58" t="s">
        <v>105</v>
      </c>
      <c r="L61" s="44">
        <v>45</v>
      </c>
      <c r="M61" s="44">
        <v>45</v>
      </c>
      <c r="N61" s="45" t="s">
        <v>0</v>
      </c>
      <c r="O61" s="44" t="s">
        <v>0</v>
      </c>
      <c r="P61" s="59"/>
      <c r="Q61" s="59">
        <v>52</v>
      </c>
      <c r="R61" s="24">
        <f t="shared" si="14"/>
        <v>1.1559999999999999</v>
      </c>
      <c r="S61" s="57" t="s">
        <v>116</v>
      </c>
    </row>
    <row r="62" spans="2:19" ht="31.5" x14ac:dyDescent="0.3">
      <c r="B62" s="190"/>
      <c r="C62" s="191"/>
      <c r="D62" s="116" t="s">
        <v>10</v>
      </c>
      <c r="E62" s="115" t="s">
        <v>99</v>
      </c>
      <c r="F62" s="115" t="s">
        <v>8</v>
      </c>
      <c r="G62" s="115" t="s">
        <v>100</v>
      </c>
      <c r="H62" s="115" t="s">
        <v>101</v>
      </c>
      <c r="I62" s="115" t="s">
        <v>5</v>
      </c>
      <c r="J62" s="62" t="s">
        <v>4</v>
      </c>
      <c r="K62" s="58" t="s">
        <v>3</v>
      </c>
      <c r="L62" s="50">
        <v>2163.5</v>
      </c>
      <c r="M62" s="50">
        <f>2216.2326-3.71311+5.37988</f>
        <v>2217.9</v>
      </c>
      <c r="N62" s="50">
        <v>2217.9</v>
      </c>
      <c r="O62" s="24">
        <f>N62/M62</f>
        <v>1</v>
      </c>
      <c r="P62" s="58"/>
      <c r="Q62" s="63">
        <v>1871.1</v>
      </c>
      <c r="R62" s="24">
        <f t="shared" si="14"/>
        <v>0.84399999999999997</v>
      </c>
      <c r="S62" s="66"/>
    </row>
    <row r="63" spans="2:19" ht="31.5" x14ac:dyDescent="0.3">
      <c r="B63" s="190" t="s">
        <v>657</v>
      </c>
      <c r="C63" s="191" t="s">
        <v>117</v>
      </c>
      <c r="D63" s="116" t="s">
        <v>13</v>
      </c>
      <c r="E63" s="192" t="s">
        <v>118</v>
      </c>
      <c r="F63" s="192"/>
      <c r="G63" s="192"/>
      <c r="H63" s="192"/>
      <c r="I63" s="192"/>
      <c r="J63" s="62" t="s">
        <v>119</v>
      </c>
      <c r="K63" s="58" t="s">
        <v>105</v>
      </c>
      <c r="L63" s="44">
        <v>1</v>
      </c>
      <c r="M63" s="44">
        <v>1</v>
      </c>
      <c r="N63" s="45" t="s">
        <v>0</v>
      </c>
      <c r="O63" s="44" t="s">
        <v>0</v>
      </c>
      <c r="P63" s="59"/>
      <c r="Q63" s="59">
        <v>1</v>
      </c>
      <c r="R63" s="24">
        <f t="shared" si="14"/>
        <v>1</v>
      </c>
      <c r="S63" s="57"/>
    </row>
    <row r="64" spans="2:19" ht="31.5" x14ac:dyDescent="0.3">
      <c r="B64" s="190"/>
      <c r="C64" s="191"/>
      <c r="D64" s="116" t="s">
        <v>10</v>
      </c>
      <c r="E64" s="115" t="s">
        <v>99</v>
      </c>
      <c r="F64" s="115" t="s">
        <v>8</v>
      </c>
      <c r="G64" s="115" t="s">
        <v>100</v>
      </c>
      <c r="H64" s="115" t="s">
        <v>101</v>
      </c>
      <c r="I64" s="115" t="s">
        <v>5</v>
      </c>
      <c r="J64" s="62" t="s">
        <v>4</v>
      </c>
      <c r="K64" s="58" t="s">
        <v>3</v>
      </c>
      <c r="L64" s="50">
        <v>2124.6</v>
      </c>
      <c r="M64" s="50">
        <f>2176.11953-3.6459+5.28251</f>
        <v>2177.8000000000002</v>
      </c>
      <c r="N64" s="50">
        <v>2177.8000000000002</v>
      </c>
      <c r="O64" s="24">
        <f>N64/M64</f>
        <v>1</v>
      </c>
      <c r="P64" s="58"/>
      <c r="Q64" s="63">
        <v>1837.2</v>
      </c>
      <c r="R64" s="24">
        <f t="shared" si="14"/>
        <v>0.84399999999999997</v>
      </c>
      <c r="S64" s="66"/>
    </row>
    <row r="65" spans="2:19" ht="31.5" x14ac:dyDescent="0.3">
      <c r="B65" s="190" t="s">
        <v>658</v>
      </c>
      <c r="C65" s="191" t="s">
        <v>120</v>
      </c>
      <c r="D65" s="116" t="s">
        <v>13</v>
      </c>
      <c r="E65" s="192" t="s">
        <v>121</v>
      </c>
      <c r="F65" s="192"/>
      <c r="G65" s="192"/>
      <c r="H65" s="192"/>
      <c r="I65" s="192"/>
      <c r="J65" s="62" t="s">
        <v>122</v>
      </c>
      <c r="K65" s="58" t="s">
        <v>59</v>
      </c>
      <c r="L65" s="44">
        <v>12</v>
      </c>
      <c r="M65" s="44">
        <v>12</v>
      </c>
      <c r="N65" s="45" t="s">
        <v>0</v>
      </c>
      <c r="O65" s="44" t="s">
        <v>0</v>
      </c>
      <c r="P65" s="59"/>
      <c r="Q65" s="59">
        <v>12</v>
      </c>
      <c r="R65" s="24">
        <f t="shared" si="14"/>
        <v>1</v>
      </c>
      <c r="S65" s="57"/>
    </row>
    <row r="66" spans="2:19" ht="31.5" x14ac:dyDescent="0.3">
      <c r="B66" s="190"/>
      <c r="C66" s="191"/>
      <c r="D66" s="116" t="s">
        <v>10</v>
      </c>
      <c r="E66" s="115" t="s">
        <v>99</v>
      </c>
      <c r="F66" s="115" t="s">
        <v>8</v>
      </c>
      <c r="G66" s="115" t="s">
        <v>100</v>
      </c>
      <c r="H66" s="115" t="s">
        <v>101</v>
      </c>
      <c r="I66" s="115" t="s">
        <v>5</v>
      </c>
      <c r="J66" s="62" t="s">
        <v>4</v>
      </c>
      <c r="K66" s="58" t="s">
        <v>3</v>
      </c>
      <c r="L66" s="50">
        <v>2727.3</v>
      </c>
      <c r="M66" s="50">
        <f>2791.23446-4.67647+6.77569</f>
        <v>2793.3</v>
      </c>
      <c r="N66" s="50">
        <v>2793.3</v>
      </c>
      <c r="O66" s="24">
        <f>N66/M66</f>
        <v>1</v>
      </c>
      <c r="P66" s="58"/>
      <c r="Q66" s="63">
        <v>2356.5</v>
      </c>
      <c r="R66" s="24">
        <f t="shared" si="14"/>
        <v>0.84399999999999997</v>
      </c>
      <c r="S66" s="66"/>
    </row>
    <row r="67" spans="2:19" ht="31.5" x14ac:dyDescent="0.3">
      <c r="B67" s="190" t="s">
        <v>659</v>
      </c>
      <c r="C67" s="191" t="s">
        <v>123</v>
      </c>
      <c r="D67" s="116" t="s">
        <v>13</v>
      </c>
      <c r="E67" s="192" t="s">
        <v>124</v>
      </c>
      <c r="F67" s="192"/>
      <c r="G67" s="192"/>
      <c r="H67" s="192"/>
      <c r="I67" s="192"/>
      <c r="J67" s="62" t="s">
        <v>125</v>
      </c>
      <c r="K67" s="58" t="s">
        <v>126</v>
      </c>
      <c r="L67" s="67">
        <v>4977.8999999999996</v>
      </c>
      <c r="M67" s="67">
        <v>4977.8999999999996</v>
      </c>
      <c r="N67" s="45" t="s">
        <v>0</v>
      </c>
      <c r="O67" s="44" t="s">
        <v>0</v>
      </c>
      <c r="P67" s="59"/>
      <c r="Q67" s="68">
        <v>4977.8999999999996</v>
      </c>
      <c r="R67" s="24">
        <f t="shared" si="14"/>
        <v>1</v>
      </c>
      <c r="S67" s="57"/>
    </row>
    <row r="68" spans="2:19" ht="68.25" customHeight="1" x14ac:dyDescent="0.3">
      <c r="B68" s="190"/>
      <c r="C68" s="191"/>
      <c r="D68" s="116" t="s">
        <v>10</v>
      </c>
      <c r="E68" s="115" t="s">
        <v>99</v>
      </c>
      <c r="F68" s="115" t="s">
        <v>8</v>
      </c>
      <c r="G68" s="115" t="s">
        <v>100</v>
      </c>
      <c r="H68" s="115" t="s">
        <v>101</v>
      </c>
      <c r="I68" s="115" t="s">
        <v>5</v>
      </c>
      <c r="J68" s="62" t="s">
        <v>4</v>
      </c>
      <c r="K68" s="58" t="s">
        <v>3</v>
      </c>
      <c r="L68" s="50">
        <v>6714.5</v>
      </c>
      <c r="M68" s="50">
        <f>3548.79051-5.94569+8.61465</f>
        <v>3551.5</v>
      </c>
      <c r="N68" s="50">
        <v>3551.5</v>
      </c>
      <c r="O68" s="24">
        <f>N68/M68</f>
        <v>1</v>
      </c>
      <c r="P68" s="58"/>
      <c r="Q68" s="63">
        <v>2996.1</v>
      </c>
      <c r="R68" s="24">
        <f t="shared" si="14"/>
        <v>0.84399999999999997</v>
      </c>
      <c r="S68" s="66"/>
    </row>
    <row r="69" spans="2:19" ht="31.5" x14ac:dyDescent="0.3">
      <c r="B69" s="190" t="s">
        <v>660</v>
      </c>
      <c r="C69" s="236" t="s">
        <v>127</v>
      </c>
      <c r="D69" s="116" t="s">
        <v>13</v>
      </c>
      <c r="E69" s="192" t="s">
        <v>128</v>
      </c>
      <c r="F69" s="192"/>
      <c r="G69" s="192"/>
      <c r="H69" s="192"/>
      <c r="I69" s="192"/>
      <c r="J69" s="57" t="s">
        <v>129</v>
      </c>
      <c r="K69" s="58" t="s">
        <v>130</v>
      </c>
      <c r="L69" s="44">
        <v>185167</v>
      </c>
      <c r="M69" s="44">
        <v>185167</v>
      </c>
      <c r="N69" s="45" t="s">
        <v>0</v>
      </c>
      <c r="O69" s="44" t="s">
        <v>0</v>
      </c>
      <c r="P69" s="59"/>
      <c r="Q69" s="59">
        <v>187541</v>
      </c>
      <c r="R69" s="24">
        <f t="shared" si="14"/>
        <v>1.0129999999999999</v>
      </c>
      <c r="S69" s="57"/>
    </row>
    <row r="70" spans="2:19" ht="50.25" customHeight="1" x14ac:dyDescent="0.3">
      <c r="B70" s="190"/>
      <c r="C70" s="236"/>
      <c r="D70" s="61" t="s">
        <v>10</v>
      </c>
      <c r="E70" s="115" t="s">
        <v>99</v>
      </c>
      <c r="F70" s="115" t="s">
        <v>131</v>
      </c>
      <c r="G70" s="115" t="s">
        <v>132</v>
      </c>
      <c r="H70" s="115" t="s">
        <v>133</v>
      </c>
      <c r="I70" s="115" t="s">
        <v>5</v>
      </c>
      <c r="J70" s="62" t="s">
        <v>4</v>
      </c>
      <c r="K70" s="58" t="s">
        <v>3</v>
      </c>
      <c r="L70" s="45">
        <v>2720</v>
      </c>
      <c r="M70" s="45">
        <v>2720</v>
      </c>
      <c r="N70" s="45">
        <v>2720</v>
      </c>
      <c r="O70" s="24">
        <v>1</v>
      </c>
      <c r="P70" s="63"/>
      <c r="Q70" s="63">
        <v>2698.8</v>
      </c>
      <c r="R70" s="24">
        <f t="shared" si="14"/>
        <v>0.99199999999999999</v>
      </c>
      <c r="S70" s="57"/>
    </row>
    <row r="71" spans="2:19" ht="134.25" customHeight="1" x14ac:dyDescent="0.3">
      <c r="B71" s="190" t="s">
        <v>661</v>
      </c>
      <c r="C71" s="191" t="s">
        <v>134</v>
      </c>
      <c r="D71" s="116" t="s">
        <v>13</v>
      </c>
      <c r="E71" s="192" t="s">
        <v>135</v>
      </c>
      <c r="F71" s="192"/>
      <c r="G71" s="192"/>
      <c r="H71" s="192"/>
      <c r="I71" s="192"/>
      <c r="J71" s="57" t="s">
        <v>136</v>
      </c>
      <c r="K71" s="58" t="s">
        <v>130</v>
      </c>
      <c r="L71" s="44">
        <v>4</v>
      </c>
      <c r="M71" s="44">
        <v>4</v>
      </c>
      <c r="N71" s="45" t="s">
        <v>29</v>
      </c>
      <c r="O71" s="45" t="s">
        <v>0</v>
      </c>
      <c r="P71" s="59"/>
      <c r="Q71" s="59">
        <v>4</v>
      </c>
      <c r="R71" s="24">
        <f t="shared" si="14"/>
        <v>1</v>
      </c>
      <c r="S71" s="57"/>
    </row>
    <row r="72" spans="2:19" ht="45.75" customHeight="1" x14ac:dyDescent="0.3">
      <c r="B72" s="190"/>
      <c r="C72" s="191"/>
      <c r="D72" s="116" t="s">
        <v>10</v>
      </c>
      <c r="E72" s="115" t="s">
        <v>99</v>
      </c>
      <c r="F72" s="115" t="s">
        <v>131</v>
      </c>
      <c r="G72" s="115" t="s">
        <v>132</v>
      </c>
      <c r="H72" s="115" t="s">
        <v>133</v>
      </c>
      <c r="I72" s="115" t="s">
        <v>5</v>
      </c>
      <c r="J72" s="57" t="s">
        <v>4</v>
      </c>
      <c r="K72" s="58" t="s">
        <v>3</v>
      </c>
      <c r="L72" s="45">
        <v>3978</v>
      </c>
      <c r="M72" s="45">
        <v>3978</v>
      </c>
      <c r="N72" s="45">
        <v>3978</v>
      </c>
      <c r="O72" s="24">
        <f>N72/M72</f>
        <v>1</v>
      </c>
      <c r="P72" s="64"/>
      <c r="Q72" s="63">
        <v>3947.1</v>
      </c>
      <c r="R72" s="24">
        <f t="shared" si="14"/>
        <v>0.99199999999999999</v>
      </c>
      <c r="S72" s="64"/>
    </row>
    <row r="73" spans="2:19" ht="139.5" customHeight="1" x14ac:dyDescent="0.3">
      <c r="B73" s="190" t="s">
        <v>662</v>
      </c>
      <c r="C73" s="191" t="s">
        <v>137</v>
      </c>
      <c r="D73" s="116" t="s">
        <v>13</v>
      </c>
      <c r="E73" s="192" t="s">
        <v>138</v>
      </c>
      <c r="F73" s="192"/>
      <c r="G73" s="192"/>
      <c r="H73" s="192"/>
      <c r="I73" s="192"/>
      <c r="J73" s="62" t="s">
        <v>139</v>
      </c>
      <c r="K73" s="58" t="s">
        <v>59</v>
      </c>
      <c r="L73" s="44">
        <v>150</v>
      </c>
      <c r="M73" s="44">
        <v>150</v>
      </c>
      <c r="N73" s="45" t="s">
        <v>0</v>
      </c>
      <c r="O73" s="44" t="s">
        <v>0</v>
      </c>
      <c r="P73" s="59"/>
      <c r="Q73" s="59">
        <v>159</v>
      </c>
      <c r="R73" s="24">
        <f t="shared" si="14"/>
        <v>1.06</v>
      </c>
      <c r="S73" s="57"/>
    </row>
    <row r="74" spans="2:19" ht="81.75" customHeight="1" x14ac:dyDescent="0.3">
      <c r="B74" s="190"/>
      <c r="C74" s="191"/>
      <c r="D74" s="116" t="s">
        <v>10</v>
      </c>
      <c r="E74" s="115" t="s">
        <v>99</v>
      </c>
      <c r="F74" s="115" t="s">
        <v>131</v>
      </c>
      <c r="G74" s="115" t="s">
        <v>132</v>
      </c>
      <c r="H74" s="115" t="s">
        <v>133</v>
      </c>
      <c r="I74" s="115" t="s">
        <v>5</v>
      </c>
      <c r="J74" s="62" t="s">
        <v>4</v>
      </c>
      <c r="K74" s="58" t="s">
        <v>3</v>
      </c>
      <c r="L74" s="50">
        <v>3765</v>
      </c>
      <c r="M74" s="50">
        <v>3765</v>
      </c>
      <c r="N74" s="50">
        <v>3765</v>
      </c>
      <c r="O74" s="24">
        <f>N74/M74</f>
        <v>1</v>
      </c>
      <c r="P74" s="58"/>
      <c r="Q74" s="63">
        <v>3735.7</v>
      </c>
      <c r="R74" s="24">
        <f t="shared" si="14"/>
        <v>0.99199999999999999</v>
      </c>
      <c r="S74" s="66"/>
    </row>
    <row r="75" spans="2:19" ht="94.5" x14ac:dyDescent="0.3">
      <c r="B75" s="190" t="s">
        <v>663</v>
      </c>
      <c r="C75" s="191" t="s">
        <v>140</v>
      </c>
      <c r="D75" s="116" t="s">
        <v>13</v>
      </c>
      <c r="E75" s="192" t="s">
        <v>141</v>
      </c>
      <c r="F75" s="192"/>
      <c r="G75" s="192"/>
      <c r="H75" s="192"/>
      <c r="I75" s="192"/>
      <c r="J75" s="62" t="s">
        <v>142</v>
      </c>
      <c r="K75" s="58" t="s">
        <v>59</v>
      </c>
      <c r="L75" s="44">
        <v>50</v>
      </c>
      <c r="M75" s="44">
        <v>50</v>
      </c>
      <c r="N75" s="45" t="s">
        <v>0</v>
      </c>
      <c r="O75" s="44" t="s">
        <v>0</v>
      </c>
      <c r="P75" s="59"/>
      <c r="Q75" s="59">
        <v>55</v>
      </c>
      <c r="R75" s="24">
        <f t="shared" si="14"/>
        <v>1.1000000000000001</v>
      </c>
      <c r="S75" s="57"/>
    </row>
    <row r="76" spans="2:19" ht="31.5" x14ac:dyDescent="0.3">
      <c r="B76" s="190"/>
      <c r="C76" s="191"/>
      <c r="D76" s="116" t="s">
        <v>10</v>
      </c>
      <c r="E76" s="115" t="s">
        <v>99</v>
      </c>
      <c r="F76" s="115" t="s">
        <v>131</v>
      </c>
      <c r="G76" s="115" t="s">
        <v>132</v>
      </c>
      <c r="H76" s="115" t="s">
        <v>133</v>
      </c>
      <c r="I76" s="115" t="s">
        <v>5</v>
      </c>
      <c r="J76" s="62" t="s">
        <v>4</v>
      </c>
      <c r="K76" s="58" t="s">
        <v>3</v>
      </c>
      <c r="L76" s="50">
        <v>3784.2</v>
      </c>
      <c r="M76" s="50">
        <v>3784.2</v>
      </c>
      <c r="N76" s="50">
        <v>3784.2</v>
      </c>
      <c r="O76" s="24">
        <f>N76/M76</f>
        <v>1</v>
      </c>
      <c r="P76" s="58"/>
      <c r="Q76" s="63">
        <v>3754.8</v>
      </c>
      <c r="R76" s="24">
        <f t="shared" si="14"/>
        <v>0.99199999999999999</v>
      </c>
      <c r="S76" s="66"/>
    </row>
    <row r="77" spans="2:19" x14ac:dyDescent="0.3">
      <c r="B77" s="115"/>
      <c r="C77" s="69" t="s">
        <v>1</v>
      </c>
      <c r="D77" s="70"/>
      <c r="E77" s="70"/>
      <c r="F77" s="70"/>
      <c r="G77" s="70"/>
      <c r="H77" s="70"/>
      <c r="I77" s="70"/>
      <c r="J77" s="71"/>
      <c r="K77" s="70"/>
      <c r="L77" s="17">
        <f>L53+L55+L56+L58+L60+L62+L64+L66+L68+L70+L72+L74+L76</f>
        <v>37544.400000000001</v>
      </c>
      <c r="M77" s="17">
        <f t="shared" ref="M77:N77" si="16">M53+M55+M56+M58+M60+M62+M64+M66+M68+M70+M72+M74+M76</f>
        <v>34695.199999999997</v>
      </c>
      <c r="N77" s="17">
        <f t="shared" si="16"/>
        <v>34695.199999999997</v>
      </c>
      <c r="O77" s="16"/>
      <c r="P77" s="70"/>
      <c r="Q77" s="72">
        <f>Q53+Q55+Q56+Q58+Q60+Q62+Q64+Q66+Q68+Q70+Q72+Q74+Q76</f>
        <v>31501.4</v>
      </c>
      <c r="R77" s="24">
        <f t="shared" si="14"/>
        <v>0.90800000000000003</v>
      </c>
      <c r="S77" s="71"/>
    </row>
    <row r="78" spans="2:19" ht="64.5" customHeight="1" x14ac:dyDescent="0.3">
      <c r="B78" s="209" t="s">
        <v>664</v>
      </c>
      <c r="C78" s="211" t="s">
        <v>174</v>
      </c>
      <c r="D78" s="110" t="s">
        <v>13</v>
      </c>
      <c r="E78" s="196" t="s">
        <v>175</v>
      </c>
      <c r="F78" s="196"/>
      <c r="G78" s="196"/>
      <c r="H78" s="196"/>
      <c r="I78" s="196"/>
      <c r="J78" s="43" t="s">
        <v>176</v>
      </c>
      <c r="K78" s="107" t="s">
        <v>177</v>
      </c>
      <c r="L78" s="44">
        <v>510248</v>
      </c>
      <c r="M78" s="44">
        <v>510248</v>
      </c>
      <c r="N78" s="45" t="s">
        <v>0</v>
      </c>
      <c r="O78" s="44" t="s">
        <v>0</v>
      </c>
      <c r="P78" s="44"/>
      <c r="Q78" s="44">
        <v>525220</v>
      </c>
      <c r="R78" s="24">
        <f t="shared" si="14"/>
        <v>1.0289999999999999</v>
      </c>
      <c r="S78" s="43"/>
    </row>
    <row r="79" spans="2:19" ht="78.75" x14ac:dyDescent="0.3">
      <c r="B79" s="209"/>
      <c r="C79" s="211"/>
      <c r="D79" s="110" t="s">
        <v>13</v>
      </c>
      <c r="E79" s="196"/>
      <c r="F79" s="196"/>
      <c r="G79" s="196"/>
      <c r="H79" s="196"/>
      <c r="I79" s="196"/>
      <c r="J79" s="43" t="s">
        <v>178</v>
      </c>
      <c r="K79" s="107" t="s">
        <v>179</v>
      </c>
      <c r="L79" s="44">
        <v>90</v>
      </c>
      <c r="M79" s="44">
        <v>90</v>
      </c>
      <c r="N79" s="45" t="s">
        <v>0</v>
      </c>
      <c r="O79" s="44" t="s">
        <v>0</v>
      </c>
      <c r="P79" s="44"/>
      <c r="Q79" s="73">
        <v>99.9</v>
      </c>
      <c r="R79" s="24">
        <f t="shared" si="14"/>
        <v>1.1100000000000001</v>
      </c>
      <c r="S79" s="43"/>
    </row>
    <row r="80" spans="2:19" ht="74.25" customHeight="1" x14ac:dyDescent="0.3">
      <c r="B80" s="209"/>
      <c r="C80" s="211"/>
      <c r="D80" s="47" t="s">
        <v>10</v>
      </c>
      <c r="E80" s="110" t="s">
        <v>180</v>
      </c>
      <c r="F80" s="110" t="s">
        <v>131</v>
      </c>
      <c r="G80" s="110" t="s">
        <v>132</v>
      </c>
      <c r="H80" s="110" t="s">
        <v>181</v>
      </c>
      <c r="I80" s="110" t="s">
        <v>150</v>
      </c>
      <c r="J80" s="49" t="s">
        <v>4</v>
      </c>
      <c r="K80" s="107" t="s">
        <v>3</v>
      </c>
      <c r="L80" s="74">
        <v>69131.78</v>
      </c>
      <c r="M80" s="74">
        <f>70459.98</f>
        <v>70459.98</v>
      </c>
      <c r="N80" s="74">
        <f>M80</f>
        <v>70459.98</v>
      </c>
      <c r="O80" s="24">
        <v>1</v>
      </c>
      <c r="P80" s="74"/>
      <c r="Q80" s="74">
        <f>M80-148.78</f>
        <v>70311.199999999997</v>
      </c>
      <c r="R80" s="24">
        <f t="shared" si="14"/>
        <v>0.998</v>
      </c>
      <c r="S80" s="43" t="s">
        <v>182</v>
      </c>
    </row>
    <row r="81" spans="2:19" ht="127.5" customHeight="1" x14ac:dyDescent="0.3">
      <c r="B81" s="209"/>
      <c r="C81" s="211"/>
      <c r="D81" s="47" t="s">
        <v>10</v>
      </c>
      <c r="E81" s="110" t="s">
        <v>180</v>
      </c>
      <c r="F81" s="110" t="s">
        <v>131</v>
      </c>
      <c r="G81" s="110" t="s">
        <v>132</v>
      </c>
      <c r="H81" s="110" t="s">
        <v>183</v>
      </c>
      <c r="I81" s="110" t="s">
        <v>150</v>
      </c>
      <c r="J81" s="49" t="s">
        <v>4</v>
      </c>
      <c r="K81" s="107" t="s">
        <v>3</v>
      </c>
      <c r="L81" s="74">
        <v>4500</v>
      </c>
      <c r="M81" s="74">
        <v>4500</v>
      </c>
      <c r="N81" s="74">
        <f>M81</f>
        <v>4500</v>
      </c>
      <c r="O81" s="24">
        <v>1</v>
      </c>
      <c r="P81" s="74"/>
      <c r="Q81" s="74">
        <f>M81-1060.33</f>
        <v>3439.67</v>
      </c>
      <c r="R81" s="24">
        <f t="shared" si="14"/>
        <v>0.76400000000000001</v>
      </c>
      <c r="S81" s="43" t="s">
        <v>184</v>
      </c>
    </row>
    <row r="82" spans="2:19" ht="47.25" x14ac:dyDescent="0.3">
      <c r="B82" s="209" t="s">
        <v>665</v>
      </c>
      <c r="C82" s="220" t="s">
        <v>185</v>
      </c>
      <c r="D82" s="110" t="s">
        <v>13</v>
      </c>
      <c r="E82" s="196" t="s">
        <v>186</v>
      </c>
      <c r="F82" s="196"/>
      <c r="G82" s="196"/>
      <c r="H82" s="196"/>
      <c r="I82" s="196"/>
      <c r="J82" s="43" t="s">
        <v>187</v>
      </c>
      <c r="K82" s="43" t="s">
        <v>188</v>
      </c>
      <c r="L82" s="44">
        <v>321</v>
      </c>
      <c r="M82" s="44">
        <v>321</v>
      </c>
      <c r="N82" s="45" t="s">
        <v>0</v>
      </c>
      <c r="O82" s="44" t="s">
        <v>0</v>
      </c>
      <c r="P82" s="44"/>
      <c r="Q82" s="44">
        <v>321</v>
      </c>
      <c r="R82" s="24">
        <f t="shared" si="14"/>
        <v>1</v>
      </c>
      <c r="S82" s="76"/>
    </row>
    <row r="83" spans="2:19" ht="31.5" x14ac:dyDescent="0.3">
      <c r="B83" s="209"/>
      <c r="C83" s="220"/>
      <c r="D83" s="47" t="s">
        <v>10</v>
      </c>
      <c r="E83" s="110" t="s">
        <v>180</v>
      </c>
      <c r="F83" s="110" t="s">
        <v>8</v>
      </c>
      <c r="G83" s="110" t="s">
        <v>148</v>
      </c>
      <c r="H83" s="110" t="s">
        <v>189</v>
      </c>
      <c r="I83" s="110" t="s">
        <v>5</v>
      </c>
      <c r="J83" s="49" t="s">
        <v>4</v>
      </c>
      <c r="K83" s="107" t="s">
        <v>3</v>
      </c>
      <c r="L83" s="74">
        <f>24018.6-4176</f>
        <v>19842.599999999999</v>
      </c>
      <c r="M83" s="74">
        <f>26106.63-4176</f>
        <v>21930.63</v>
      </c>
      <c r="N83" s="74">
        <f>M83</f>
        <v>21930.63</v>
      </c>
      <c r="O83" s="24">
        <v>1</v>
      </c>
      <c r="P83" s="45"/>
      <c r="Q83" s="74">
        <f>M83</f>
        <v>21930.63</v>
      </c>
      <c r="R83" s="24">
        <f t="shared" si="14"/>
        <v>1</v>
      </c>
      <c r="S83" s="43"/>
    </row>
    <row r="84" spans="2:19" ht="31.5" x14ac:dyDescent="0.3">
      <c r="B84" s="209"/>
      <c r="C84" s="220"/>
      <c r="D84" s="47" t="s">
        <v>10</v>
      </c>
      <c r="E84" s="110" t="s">
        <v>180</v>
      </c>
      <c r="F84" s="110" t="s">
        <v>8</v>
      </c>
      <c r="G84" s="110" t="s">
        <v>148</v>
      </c>
      <c r="H84" s="110" t="s">
        <v>190</v>
      </c>
      <c r="I84" s="110" t="s">
        <v>5</v>
      </c>
      <c r="J84" s="49" t="s">
        <v>4</v>
      </c>
      <c r="K84" s="107" t="s">
        <v>3</v>
      </c>
      <c r="L84" s="74">
        <v>15768</v>
      </c>
      <c r="M84" s="74">
        <v>14168</v>
      </c>
      <c r="N84" s="74">
        <f>M84</f>
        <v>14168</v>
      </c>
      <c r="O84" s="24">
        <v>1</v>
      </c>
      <c r="P84" s="45"/>
      <c r="Q84" s="74">
        <f>M84</f>
        <v>14168</v>
      </c>
      <c r="R84" s="24">
        <f t="shared" si="14"/>
        <v>1</v>
      </c>
      <c r="S84" s="43"/>
    </row>
    <row r="85" spans="2:19" ht="108" customHeight="1" x14ac:dyDescent="0.3">
      <c r="B85" s="209" t="s">
        <v>666</v>
      </c>
      <c r="C85" s="239" t="s">
        <v>191</v>
      </c>
      <c r="D85" s="110"/>
      <c r="E85" s="196" t="s">
        <v>186</v>
      </c>
      <c r="F85" s="196"/>
      <c r="G85" s="196"/>
      <c r="H85" s="196"/>
      <c r="I85" s="196"/>
      <c r="J85" s="107" t="s">
        <v>12</v>
      </c>
      <c r="K85" s="107" t="s">
        <v>146</v>
      </c>
      <c r="L85" s="74">
        <v>5184</v>
      </c>
      <c r="M85" s="74">
        <v>5184</v>
      </c>
      <c r="N85" s="74" t="s">
        <v>192</v>
      </c>
      <c r="O85" s="44" t="s">
        <v>192</v>
      </c>
      <c r="P85" s="44"/>
      <c r="Q85" s="74">
        <v>5184</v>
      </c>
      <c r="R85" s="24">
        <f t="shared" si="14"/>
        <v>1</v>
      </c>
      <c r="S85" s="43"/>
    </row>
    <row r="86" spans="2:19" ht="43.5" customHeight="1" x14ac:dyDescent="0.3">
      <c r="B86" s="209"/>
      <c r="C86" s="239"/>
      <c r="D86" s="47" t="s">
        <v>10</v>
      </c>
      <c r="E86" s="110" t="s">
        <v>180</v>
      </c>
      <c r="F86" s="110" t="s">
        <v>8</v>
      </c>
      <c r="G86" s="110" t="s">
        <v>148</v>
      </c>
      <c r="H86" s="110" t="s">
        <v>189</v>
      </c>
      <c r="I86" s="110" t="s">
        <v>5</v>
      </c>
      <c r="J86" s="49" t="s">
        <v>4</v>
      </c>
      <c r="K86" s="107" t="s">
        <v>3</v>
      </c>
      <c r="L86" s="74">
        <v>4176</v>
      </c>
      <c r="M86" s="74">
        <v>4176</v>
      </c>
      <c r="N86" s="74">
        <f>M86</f>
        <v>4176</v>
      </c>
      <c r="O86" s="24">
        <v>1</v>
      </c>
      <c r="P86" s="45"/>
      <c r="Q86" s="74">
        <f>M86</f>
        <v>4176</v>
      </c>
      <c r="R86" s="24">
        <f t="shared" si="14"/>
        <v>1</v>
      </c>
      <c r="S86" s="43"/>
    </row>
    <row r="87" spans="2:19" x14ac:dyDescent="0.3">
      <c r="B87" s="77"/>
      <c r="C87" s="51" t="s">
        <v>1</v>
      </c>
      <c r="D87" s="52"/>
      <c r="E87" s="52"/>
      <c r="F87" s="52"/>
      <c r="G87" s="52"/>
      <c r="H87" s="52"/>
      <c r="I87" s="52"/>
      <c r="J87" s="53"/>
      <c r="K87" s="16"/>
      <c r="L87" s="94">
        <f>L86+L84+L81+L80+L83</f>
        <v>113418.38</v>
      </c>
      <c r="M87" s="94">
        <f>M86+M84+M81+M80+M83</f>
        <v>115234.61</v>
      </c>
      <c r="N87" s="94">
        <f>N86+N84+N81+N80+N83</f>
        <v>115234.61</v>
      </c>
      <c r="O87" s="24">
        <f t="shared" ref="O87:O88" si="17">N87/M87</f>
        <v>1</v>
      </c>
      <c r="P87" s="94"/>
      <c r="Q87" s="94">
        <f>Q86+Q84+Q81+Q80+Q83</f>
        <v>114025.5</v>
      </c>
      <c r="R87" s="24">
        <f t="shared" si="14"/>
        <v>0.99</v>
      </c>
      <c r="S87" s="85"/>
    </row>
    <row r="88" spans="2:19" x14ac:dyDescent="0.3">
      <c r="B88" s="136"/>
      <c r="C88" s="137" t="s">
        <v>2</v>
      </c>
      <c r="D88" s="138"/>
      <c r="E88" s="138"/>
      <c r="F88" s="138"/>
      <c r="G88" s="138"/>
      <c r="H88" s="138"/>
      <c r="I88" s="138"/>
      <c r="J88" s="139"/>
      <c r="K88" s="138"/>
      <c r="L88" s="140">
        <f>L87+L77</f>
        <v>150962.79999999999</v>
      </c>
      <c r="M88" s="140">
        <f>M87+M77</f>
        <v>149929.79999999999</v>
      </c>
      <c r="N88" s="140">
        <f>N87+N77</f>
        <v>149929.79999999999</v>
      </c>
      <c r="O88" s="132">
        <f t="shared" si="17"/>
        <v>1</v>
      </c>
      <c r="P88" s="140"/>
      <c r="Q88" s="140">
        <f>Q87+Q77</f>
        <v>145526.9</v>
      </c>
      <c r="R88" s="24">
        <f t="shared" si="14"/>
        <v>0.97099999999999997</v>
      </c>
      <c r="S88" s="139"/>
    </row>
    <row r="89" spans="2:19" ht="18.75" customHeight="1" x14ac:dyDescent="0.3">
      <c r="B89" s="111" t="s">
        <v>347</v>
      </c>
      <c r="C89" s="242" t="s">
        <v>173</v>
      </c>
      <c r="D89" s="243"/>
      <c r="E89" s="243"/>
      <c r="F89" s="243"/>
      <c r="G89" s="243"/>
      <c r="H89" s="243"/>
      <c r="I89" s="243"/>
      <c r="J89" s="243"/>
      <c r="K89" s="243"/>
      <c r="L89" s="91"/>
      <c r="M89" s="91"/>
      <c r="N89" s="91"/>
      <c r="O89" s="91"/>
      <c r="P89" s="91"/>
      <c r="Q89" s="91"/>
      <c r="R89" s="91"/>
      <c r="S89" s="91"/>
    </row>
    <row r="90" spans="2:19" ht="40.5" customHeight="1" x14ac:dyDescent="0.3">
      <c r="B90" s="209" t="s">
        <v>460</v>
      </c>
      <c r="C90" s="211" t="s">
        <v>143</v>
      </c>
      <c r="D90" s="110" t="s">
        <v>13</v>
      </c>
      <c r="E90" s="199" t="s">
        <v>144</v>
      </c>
      <c r="F90" s="199"/>
      <c r="G90" s="199"/>
      <c r="H90" s="199"/>
      <c r="I90" s="199"/>
      <c r="J90" s="43" t="s">
        <v>145</v>
      </c>
      <c r="K90" s="107" t="s">
        <v>146</v>
      </c>
      <c r="L90" s="44">
        <v>932</v>
      </c>
      <c r="M90" s="44">
        <v>932</v>
      </c>
      <c r="N90" s="45" t="s">
        <v>0</v>
      </c>
      <c r="O90" s="44" t="s">
        <v>0</v>
      </c>
      <c r="P90" s="44"/>
      <c r="Q90" s="44">
        <v>984</v>
      </c>
      <c r="R90" s="24">
        <f t="shared" ref="R90:R121" si="18">Q90/M90</f>
        <v>1.056</v>
      </c>
      <c r="S90" s="43"/>
    </row>
    <row r="91" spans="2:19" x14ac:dyDescent="0.3">
      <c r="B91" s="209"/>
      <c r="C91" s="211"/>
      <c r="D91" s="223"/>
      <c r="E91" s="110" t="s">
        <v>147</v>
      </c>
      <c r="F91" s="110" t="s">
        <v>148</v>
      </c>
      <c r="G91" s="110" t="s">
        <v>149</v>
      </c>
      <c r="H91" s="110" t="s">
        <v>151</v>
      </c>
      <c r="I91" s="110" t="s">
        <v>5</v>
      </c>
      <c r="J91" s="199" t="s">
        <v>4</v>
      </c>
      <c r="K91" s="107" t="s">
        <v>3</v>
      </c>
      <c r="L91" s="67">
        <v>49402.6</v>
      </c>
      <c r="M91" s="67">
        <v>57475.199999999997</v>
      </c>
      <c r="N91" s="45">
        <f t="shared" ref="N91:N94" si="19">M91</f>
        <v>57475.199999999997</v>
      </c>
      <c r="O91" s="24">
        <f t="shared" ref="O91:O94" si="20">N91/M91</f>
        <v>1</v>
      </c>
      <c r="P91" s="44"/>
      <c r="Q91" s="67">
        <f t="shared" ref="Q91:Q94" si="21">N91</f>
        <v>57475.199999999997</v>
      </c>
      <c r="R91" s="24">
        <f t="shared" si="18"/>
        <v>1</v>
      </c>
      <c r="S91" s="43"/>
    </row>
    <row r="92" spans="2:19" x14ac:dyDescent="0.3">
      <c r="B92" s="209"/>
      <c r="C92" s="211"/>
      <c r="D92" s="223"/>
      <c r="E92" s="110" t="s">
        <v>147</v>
      </c>
      <c r="F92" s="110" t="s">
        <v>148</v>
      </c>
      <c r="G92" s="110" t="s">
        <v>149</v>
      </c>
      <c r="H92" s="110" t="s">
        <v>151</v>
      </c>
      <c r="I92" s="110" t="s">
        <v>150</v>
      </c>
      <c r="J92" s="199"/>
      <c r="K92" s="107" t="s">
        <v>3</v>
      </c>
      <c r="L92" s="45">
        <v>122336.2</v>
      </c>
      <c r="M92" s="45">
        <v>130442.8</v>
      </c>
      <c r="N92" s="45">
        <f t="shared" si="19"/>
        <v>130442.8</v>
      </c>
      <c r="O92" s="24">
        <f t="shared" si="20"/>
        <v>1</v>
      </c>
      <c r="P92" s="45"/>
      <c r="Q92" s="67">
        <f t="shared" si="21"/>
        <v>130442.8</v>
      </c>
      <c r="R92" s="24">
        <f t="shared" si="18"/>
        <v>1</v>
      </c>
      <c r="S92" s="43"/>
    </row>
    <row r="93" spans="2:19" x14ac:dyDescent="0.3">
      <c r="B93" s="209"/>
      <c r="C93" s="211"/>
      <c r="D93" s="223"/>
      <c r="E93" s="110" t="s">
        <v>147</v>
      </c>
      <c r="F93" s="110" t="s">
        <v>148</v>
      </c>
      <c r="G93" s="110" t="s">
        <v>149</v>
      </c>
      <c r="H93" s="110" t="s">
        <v>152</v>
      </c>
      <c r="I93" s="110" t="s">
        <v>150</v>
      </c>
      <c r="J93" s="199"/>
      <c r="K93" s="107" t="s">
        <v>3</v>
      </c>
      <c r="L93" s="45">
        <v>8297.7000000000007</v>
      </c>
      <c r="M93" s="45">
        <f>9346.2-53.1</f>
        <v>9293.1</v>
      </c>
      <c r="N93" s="45">
        <f t="shared" si="19"/>
        <v>9293.1</v>
      </c>
      <c r="O93" s="24">
        <f t="shared" si="20"/>
        <v>1</v>
      </c>
      <c r="P93" s="45"/>
      <c r="Q93" s="67">
        <f t="shared" si="21"/>
        <v>9293.1</v>
      </c>
      <c r="R93" s="24">
        <f t="shared" si="18"/>
        <v>1</v>
      </c>
      <c r="S93" s="43"/>
    </row>
    <row r="94" spans="2:19" x14ac:dyDescent="0.3">
      <c r="B94" s="209"/>
      <c r="C94" s="211"/>
      <c r="D94" s="223"/>
      <c r="E94" s="110" t="s">
        <v>147</v>
      </c>
      <c r="F94" s="110" t="s">
        <v>148</v>
      </c>
      <c r="G94" s="110" t="s">
        <v>149</v>
      </c>
      <c r="H94" s="110" t="s">
        <v>153</v>
      </c>
      <c r="I94" s="110" t="s">
        <v>5</v>
      </c>
      <c r="J94" s="199"/>
      <c r="K94" s="107" t="s">
        <v>3</v>
      </c>
      <c r="L94" s="45">
        <v>22834</v>
      </c>
      <c r="M94" s="45">
        <f>25193.9-40</f>
        <v>25153.9</v>
      </c>
      <c r="N94" s="45">
        <f t="shared" si="19"/>
        <v>25153.9</v>
      </c>
      <c r="O94" s="24">
        <f t="shared" si="20"/>
        <v>1</v>
      </c>
      <c r="P94" s="45"/>
      <c r="Q94" s="67">
        <f t="shared" si="21"/>
        <v>25153.9</v>
      </c>
      <c r="R94" s="24">
        <f t="shared" si="18"/>
        <v>1</v>
      </c>
      <c r="S94" s="43"/>
    </row>
    <row r="95" spans="2:19" ht="47.25" x14ac:dyDescent="0.3">
      <c r="B95" s="209" t="s">
        <v>461</v>
      </c>
      <c r="C95" s="220" t="s">
        <v>154</v>
      </c>
      <c r="D95" s="110" t="s">
        <v>13</v>
      </c>
      <c r="E95" s="199" t="s">
        <v>155</v>
      </c>
      <c r="F95" s="199"/>
      <c r="G95" s="199"/>
      <c r="H95" s="199"/>
      <c r="I95" s="199"/>
      <c r="J95" s="43" t="s">
        <v>145</v>
      </c>
      <c r="K95" s="107" t="s">
        <v>146</v>
      </c>
      <c r="L95" s="44">
        <v>5095</v>
      </c>
      <c r="M95" s="44">
        <v>5095</v>
      </c>
      <c r="N95" s="45" t="s">
        <v>29</v>
      </c>
      <c r="O95" s="45" t="s">
        <v>0</v>
      </c>
      <c r="P95" s="44"/>
      <c r="Q95" s="44">
        <v>5406</v>
      </c>
      <c r="R95" s="24">
        <f t="shared" si="18"/>
        <v>1.0609999999999999</v>
      </c>
      <c r="S95" s="43"/>
    </row>
    <row r="96" spans="2:19" ht="25.5" customHeight="1" x14ac:dyDescent="0.3">
      <c r="B96" s="209"/>
      <c r="C96" s="220"/>
      <c r="D96" s="196" t="s">
        <v>10</v>
      </c>
      <c r="E96" s="110" t="s">
        <v>147</v>
      </c>
      <c r="F96" s="110" t="s">
        <v>148</v>
      </c>
      <c r="G96" s="110" t="s">
        <v>149</v>
      </c>
      <c r="H96" s="110" t="s">
        <v>153</v>
      </c>
      <c r="I96" s="110" t="s">
        <v>5</v>
      </c>
      <c r="J96" s="225" t="s">
        <v>4</v>
      </c>
      <c r="K96" s="108" t="s">
        <v>3</v>
      </c>
      <c r="L96" s="45">
        <f>37750.6-L94</f>
        <v>14916.6</v>
      </c>
      <c r="M96" s="45">
        <v>15337.6</v>
      </c>
      <c r="N96" s="45">
        <f>M96</f>
        <v>15337.6</v>
      </c>
      <c r="O96" s="24">
        <f t="shared" ref="O96:O98" si="22">N96/M96</f>
        <v>1</v>
      </c>
      <c r="P96" s="86"/>
      <c r="Q96" s="67">
        <f>N96</f>
        <v>15337.6</v>
      </c>
      <c r="R96" s="24">
        <f t="shared" si="18"/>
        <v>1</v>
      </c>
      <c r="S96" s="86"/>
    </row>
    <row r="97" spans="2:19" x14ac:dyDescent="0.3">
      <c r="B97" s="209"/>
      <c r="C97" s="220"/>
      <c r="D97" s="196"/>
      <c r="E97" s="110" t="s">
        <v>147</v>
      </c>
      <c r="F97" s="110" t="s">
        <v>148</v>
      </c>
      <c r="G97" s="110" t="s">
        <v>149</v>
      </c>
      <c r="H97" s="110" t="s">
        <v>152</v>
      </c>
      <c r="I97" s="110" t="s">
        <v>150</v>
      </c>
      <c r="J97" s="226"/>
      <c r="K97" s="108"/>
      <c r="L97" s="45">
        <v>6404.9</v>
      </c>
      <c r="M97" s="45">
        <v>6596.5</v>
      </c>
      <c r="N97" s="45">
        <f t="shared" ref="N97:N98" si="23">M97</f>
        <v>6596.5</v>
      </c>
      <c r="O97" s="24">
        <f t="shared" si="22"/>
        <v>1</v>
      </c>
      <c r="P97" s="86"/>
      <c r="Q97" s="67">
        <f t="shared" ref="Q97:Q98" si="24">N97</f>
        <v>6596.5</v>
      </c>
      <c r="R97" s="24">
        <f t="shared" si="18"/>
        <v>1</v>
      </c>
      <c r="S97" s="86"/>
    </row>
    <row r="98" spans="2:19" x14ac:dyDescent="0.3">
      <c r="B98" s="209"/>
      <c r="C98" s="220"/>
      <c r="D98" s="196"/>
      <c r="E98" s="87">
        <v>910</v>
      </c>
      <c r="F98" s="110" t="s">
        <v>148</v>
      </c>
      <c r="G98" s="110" t="s">
        <v>149</v>
      </c>
      <c r="H98" s="110" t="s">
        <v>156</v>
      </c>
      <c r="I98" s="87">
        <v>621</v>
      </c>
      <c r="J98" s="227"/>
      <c r="K98" s="108"/>
      <c r="L98" s="45">
        <f t="shared" ref="L98" si="25">M98</f>
        <v>100</v>
      </c>
      <c r="M98" s="45">
        <v>100</v>
      </c>
      <c r="N98" s="45">
        <f t="shared" si="23"/>
        <v>100</v>
      </c>
      <c r="O98" s="24">
        <f t="shared" si="22"/>
        <v>1</v>
      </c>
      <c r="P98" s="45"/>
      <c r="Q98" s="67">
        <f t="shared" si="24"/>
        <v>100</v>
      </c>
      <c r="R98" s="24">
        <f t="shared" si="18"/>
        <v>1</v>
      </c>
      <c r="S98" s="86"/>
    </row>
    <row r="99" spans="2:19" ht="63" x14ac:dyDescent="0.3">
      <c r="B99" s="209" t="s">
        <v>462</v>
      </c>
      <c r="C99" s="197" t="s">
        <v>157</v>
      </c>
      <c r="D99" s="110" t="s">
        <v>13</v>
      </c>
      <c r="E99" s="196" t="s">
        <v>158</v>
      </c>
      <c r="F99" s="196"/>
      <c r="G99" s="196"/>
      <c r="H99" s="196"/>
      <c r="I99" s="196"/>
      <c r="J99" s="49" t="s">
        <v>159</v>
      </c>
      <c r="K99" s="107" t="s">
        <v>11</v>
      </c>
      <c r="L99" s="44">
        <v>640</v>
      </c>
      <c r="M99" s="44">
        <v>640</v>
      </c>
      <c r="N99" s="45" t="s">
        <v>0</v>
      </c>
      <c r="O99" s="44" t="s">
        <v>0</v>
      </c>
      <c r="P99" s="44"/>
      <c r="Q99" s="44">
        <v>640</v>
      </c>
      <c r="R99" s="24">
        <f t="shared" si="18"/>
        <v>1</v>
      </c>
      <c r="S99" s="43"/>
    </row>
    <row r="100" spans="2:19" ht="31.5" x14ac:dyDescent="0.3">
      <c r="B100" s="209"/>
      <c r="C100" s="197"/>
      <c r="D100" s="110" t="s">
        <v>10</v>
      </c>
      <c r="E100" s="110" t="s">
        <v>147</v>
      </c>
      <c r="F100" s="110" t="s">
        <v>148</v>
      </c>
      <c r="G100" s="110" t="s">
        <v>149</v>
      </c>
      <c r="H100" s="110" t="s">
        <v>152</v>
      </c>
      <c r="I100" s="110" t="s">
        <v>150</v>
      </c>
      <c r="J100" s="49" t="s">
        <v>4</v>
      </c>
      <c r="K100" s="107" t="s">
        <v>3</v>
      </c>
      <c r="L100" s="50">
        <v>7649.8</v>
      </c>
      <c r="M100" s="50">
        <f>8540.4</f>
        <v>8540.4</v>
      </c>
      <c r="N100" s="50">
        <f>M100</f>
        <v>8540.4</v>
      </c>
      <c r="O100" s="24">
        <f>N100/M100</f>
        <v>1</v>
      </c>
      <c r="P100" s="107"/>
      <c r="Q100" s="67">
        <f>N100</f>
        <v>8540.4</v>
      </c>
      <c r="R100" s="24">
        <f t="shared" si="18"/>
        <v>1</v>
      </c>
      <c r="S100" s="48"/>
    </row>
    <row r="101" spans="2:19" ht="63" x14ac:dyDescent="0.3">
      <c r="B101" s="209" t="s">
        <v>463</v>
      </c>
      <c r="C101" s="197" t="s">
        <v>160</v>
      </c>
      <c r="D101" s="110" t="s">
        <v>13</v>
      </c>
      <c r="E101" s="196" t="s">
        <v>161</v>
      </c>
      <c r="F101" s="196"/>
      <c r="G101" s="196"/>
      <c r="H101" s="196"/>
      <c r="I101" s="196"/>
      <c r="J101" s="43" t="s">
        <v>159</v>
      </c>
      <c r="K101" s="107" t="s">
        <v>11</v>
      </c>
      <c r="L101" s="44">
        <v>1308</v>
      </c>
      <c r="M101" s="44">
        <v>1308</v>
      </c>
      <c r="N101" s="45" t="s">
        <v>29</v>
      </c>
      <c r="O101" s="45" t="s">
        <v>0</v>
      </c>
      <c r="P101" s="44"/>
      <c r="Q101" s="44">
        <v>1308</v>
      </c>
      <c r="R101" s="24">
        <f t="shared" si="18"/>
        <v>1</v>
      </c>
      <c r="S101" s="43"/>
    </row>
    <row r="102" spans="2:19" ht="31.5" x14ac:dyDescent="0.3">
      <c r="B102" s="209"/>
      <c r="C102" s="197"/>
      <c r="D102" s="110" t="s">
        <v>10</v>
      </c>
      <c r="E102" s="110" t="s">
        <v>147</v>
      </c>
      <c r="F102" s="110" t="s">
        <v>148</v>
      </c>
      <c r="G102" s="110" t="s">
        <v>149</v>
      </c>
      <c r="H102" s="110" t="s">
        <v>152</v>
      </c>
      <c r="I102" s="110" t="s">
        <v>150</v>
      </c>
      <c r="J102" s="43" t="s">
        <v>4</v>
      </c>
      <c r="K102" s="107" t="s">
        <v>3</v>
      </c>
      <c r="L102" s="45">
        <v>12450.4</v>
      </c>
      <c r="M102" s="45">
        <v>13210.8</v>
      </c>
      <c r="N102" s="45">
        <f>M102</f>
        <v>13210.8</v>
      </c>
      <c r="O102" s="24">
        <f>N102/M102</f>
        <v>1</v>
      </c>
      <c r="P102" s="86"/>
      <c r="Q102" s="67">
        <f>N102</f>
        <v>13210.8</v>
      </c>
      <c r="R102" s="24">
        <f t="shared" si="18"/>
        <v>1</v>
      </c>
      <c r="S102" s="86"/>
    </row>
    <row r="103" spans="2:19" ht="47.25" x14ac:dyDescent="0.3">
      <c r="B103" s="209" t="s">
        <v>464</v>
      </c>
      <c r="C103" s="197" t="s">
        <v>162</v>
      </c>
      <c r="D103" s="110" t="s">
        <v>13</v>
      </c>
      <c r="E103" s="196" t="s">
        <v>163</v>
      </c>
      <c r="F103" s="196"/>
      <c r="G103" s="196"/>
      <c r="H103" s="196"/>
      <c r="I103" s="196"/>
      <c r="J103" s="49" t="s">
        <v>164</v>
      </c>
      <c r="K103" s="107" t="s">
        <v>11</v>
      </c>
      <c r="L103" s="44">
        <v>126</v>
      </c>
      <c r="M103" s="44">
        <v>126</v>
      </c>
      <c r="N103" s="45" t="s">
        <v>0</v>
      </c>
      <c r="O103" s="44" t="s">
        <v>0</v>
      </c>
      <c r="P103" s="44"/>
      <c r="Q103" s="44">
        <v>126</v>
      </c>
      <c r="R103" s="24">
        <f t="shared" si="18"/>
        <v>1</v>
      </c>
      <c r="S103" s="43"/>
    </row>
    <row r="104" spans="2:19" ht="32.25" customHeight="1" x14ac:dyDescent="0.3">
      <c r="B104" s="209"/>
      <c r="C104" s="197"/>
      <c r="D104" s="110" t="s">
        <v>10</v>
      </c>
      <c r="E104" s="110" t="s">
        <v>147</v>
      </c>
      <c r="F104" s="110" t="s">
        <v>148</v>
      </c>
      <c r="G104" s="110" t="s">
        <v>149</v>
      </c>
      <c r="H104" s="110" t="s">
        <v>152</v>
      </c>
      <c r="I104" s="110" t="s">
        <v>150</v>
      </c>
      <c r="J104" s="49" t="s">
        <v>4</v>
      </c>
      <c r="K104" s="107" t="s">
        <v>3</v>
      </c>
      <c r="L104" s="50">
        <v>3299.8</v>
      </c>
      <c r="M104" s="50">
        <v>5702.4</v>
      </c>
      <c r="N104" s="50">
        <f>M104</f>
        <v>5702.4</v>
      </c>
      <c r="O104" s="24">
        <f>N104/M104</f>
        <v>1</v>
      </c>
      <c r="P104" s="107"/>
      <c r="Q104" s="45">
        <f>N104</f>
        <v>5702.4</v>
      </c>
      <c r="R104" s="24">
        <f t="shared" si="18"/>
        <v>1</v>
      </c>
      <c r="S104" s="48"/>
    </row>
    <row r="105" spans="2:19" ht="36.75" customHeight="1" x14ac:dyDescent="0.3">
      <c r="B105" s="209" t="s">
        <v>465</v>
      </c>
      <c r="C105" s="228" t="s">
        <v>165</v>
      </c>
      <c r="D105" s="110" t="s">
        <v>13</v>
      </c>
      <c r="E105" s="196" t="s">
        <v>166</v>
      </c>
      <c r="F105" s="196"/>
      <c r="G105" s="196"/>
      <c r="H105" s="196"/>
      <c r="I105" s="196"/>
      <c r="J105" s="43" t="s">
        <v>167</v>
      </c>
      <c r="K105" s="107" t="s">
        <v>59</v>
      </c>
      <c r="L105" s="158">
        <v>6</v>
      </c>
      <c r="M105" s="158">
        <v>6</v>
      </c>
      <c r="N105" s="45" t="s">
        <v>29</v>
      </c>
      <c r="O105" s="45" t="s">
        <v>0</v>
      </c>
      <c r="P105" s="44"/>
      <c r="Q105" s="44">
        <v>6</v>
      </c>
      <c r="R105" s="24">
        <f t="shared" si="18"/>
        <v>1</v>
      </c>
      <c r="S105" s="43"/>
    </row>
    <row r="106" spans="2:19" ht="31.5" x14ac:dyDescent="0.3">
      <c r="B106" s="209"/>
      <c r="C106" s="229"/>
      <c r="D106" s="89" t="s">
        <v>10</v>
      </c>
      <c r="E106" s="110" t="s">
        <v>147</v>
      </c>
      <c r="F106" s="110" t="s">
        <v>148</v>
      </c>
      <c r="G106" s="110" t="s">
        <v>149</v>
      </c>
      <c r="H106" s="110" t="s">
        <v>152</v>
      </c>
      <c r="I106" s="110" t="s">
        <v>150</v>
      </c>
      <c r="J106" s="89" t="s">
        <v>4</v>
      </c>
      <c r="K106" s="108" t="s">
        <v>3</v>
      </c>
      <c r="L106" s="45">
        <f>M106</f>
        <v>1310</v>
      </c>
      <c r="M106" s="45">
        <v>1310</v>
      </c>
      <c r="N106" s="45">
        <f>M106</f>
        <v>1310</v>
      </c>
      <c r="O106" s="24">
        <f>N106/M106</f>
        <v>1</v>
      </c>
      <c r="P106" s="86"/>
      <c r="Q106" s="45">
        <f>N106</f>
        <v>1310</v>
      </c>
      <c r="R106" s="24">
        <f t="shared" si="18"/>
        <v>1</v>
      </c>
      <c r="S106" s="86"/>
    </row>
    <row r="107" spans="2:19" ht="47.25" x14ac:dyDescent="0.3">
      <c r="B107" s="209" t="s">
        <v>466</v>
      </c>
      <c r="C107" s="197" t="s">
        <v>644</v>
      </c>
      <c r="D107" s="110" t="s">
        <v>13</v>
      </c>
      <c r="E107" s="196" t="s">
        <v>168</v>
      </c>
      <c r="F107" s="196"/>
      <c r="G107" s="196"/>
      <c r="H107" s="196"/>
      <c r="I107" s="196"/>
      <c r="J107" s="108" t="s">
        <v>645</v>
      </c>
      <c r="K107" s="107" t="s">
        <v>59</v>
      </c>
      <c r="L107" s="44">
        <v>12</v>
      </c>
      <c r="M107" s="44">
        <v>12</v>
      </c>
      <c r="N107" s="45" t="s">
        <v>0</v>
      </c>
      <c r="O107" s="44" t="s">
        <v>0</v>
      </c>
      <c r="P107" s="44"/>
      <c r="Q107" s="44">
        <v>12</v>
      </c>
      <c r="R107" s="24">
        <f t="shared" si="18"/>
        <v>1</v>
      </c>
      <c r="S107" s="43"/>
    </row>
    <row r="108" spans="2:19" ht="31.5" x14ac:dyDescent="0.3">
      <c r="B108" s="209"/>
      <c r="C108" s="197"/>
      <c r="D108" s="110" t="s">
        <v>10</v>
      </c>
      <c r="E108" s="110" t="s">
        <v>147</v>
      </c>
      <c r="F108" s="110" t="s">
        <v>148</v>
      </c>
      <c r="G108" s="110" t="s">
        <v>149</v>
      </c>
      <c r="H108" s="110" t="s">
        <v>152</v>
      </c>
      <c r="I108" s="110" t="s">
        <v>150</v>
      </c>
      <c r="J108" s="49" t="s">
        <v>4</v>
      </c>
      <c r="K108" s="107" t="s">
        <v>3</v>
      </c>
      <c r="L108" s="50">
        <f>360+1719.1</f>
        <v>2079.1</v>
      </c>
      <c r="M108" s="50">
        <f>1719.1+360</f>
        <v>2079.1</v>
      </c>
      <c r="N108" s="50">
        <f>M108</f>
        <v>2079.1</v>
      </c>
      <c r="O108" s="24">
        <f>N108/M108</f>
        <v>1</v>
      </c>
      <c r="P108" s="107"/>
      <c r="Q108" s="45">
        <f>N108</f>
        <v>2079.1</v>
      </c>
      <c r="R108" s="24">
        <f t="shared" si="18"/>
        <v>1</v>
      </c>
      <c r="S108" s="48"/>
    </row>
    <row r="109" spans="2:19" ht="189" x14ac:dyDescent="0.3">
      <c r="B109" s="209" t="s">
        <v>467</v>
      </c>
      <c r="C109" s="214" t="s">
        <v>169</v>
      </c>
      <c r="D109" s="110" t="s">
        <v>13</v>
      </c>
      <c r="E109" s="199" t="s">
        <v>170</v>
      </c>
      <c r="F109" s="199"/>
      <c r="G109" s="199"/>
      <c r="H109" s="199"/>
      <c r="I109" s="199"/>
      <c r="J109" s="49" t="s">
        <v>171</v>
      </c>
      <c r="K109" s="107" t="s">
        <v>146</v>
      </c>
      <c r="L109" s="44">
        <v>910</v>
      </c>
      <c r="M109" s="44">
        <v>910</v>
      </c>
      <c r="N109" s="45" t="s">
        <v>0</v>
      </c>
      <c r="O109" s="44" t="s">
        <v>0</v>
      </c>
      <c r="P109" s="44"/>
      <c r="Q109" s="44">
        <v>988</v>
      </c>
      <c r="R109" s="24">
        <f t="shared" si="18"/>
        <v>1.0860000000000001</v>
      </c>
      <c r="S109" s="43"/>
    </row>
    <row r="110" spans="2:19" ht="31.5" x14ac:dyDescent="0.3">
      <c r="B110" s="209"/>
      <c r="C110" s="214"/>
      <c r="D110" s="89" t="s">
        <v>10</v>
      </c>
      <c r="E110" s="110" t="s">
        <v>147</v>
      </c>
      <c r="F110" s="110" t="s">
        <v>148</v>
      </c>
      <c r="G110" s="110" t="s">
        <v>149</v>
      </c>
      <c r="H110" s="110" t="s">
        <v>172</v>
      </c>
      <c r="I110" s="110" t="s">
        <v>150</v>
      </c>
      <c r="J110" s="89" t="s">
        <v>4</v>
      </c>
      <c r="K110" s="108" t="s">
        <v>3</v>
      </c>
      <c r="L110" s="50">
        <v>9489</v>
      </c>
      <c r="M110" s="88">
        <v>10562.72</v>
      </c>
      <c r="N110" s="50">
        <f>M110</f>
        <v>10562.7</v>
      </c>
      <c r="O110" s="24">
        <f t="shared" ref="O110:O111" si="26">N110/M110</f>
        <v>1</v>
      </c>
      <c r="P110" s="107"/>
      <c r="Q110" s="45">
        <f>N110</f>
        <v>10562.7</v>
      </c>
      <c r="R110" s="24">
        <f t="shared" si="18"/>
        <v>1</v>
      </c>
      <c r="S110" s="48"/>
    </row>
    <row r="111" spans="2:19" ht="31.5" x14ac:dyDescent="0.3">
      <c r="B111" s="109"/>
      <c r="C111" s="51" t="s">
        <v>1</v>
      </c>
      <c r="D111" s="52"/>
      <c r="E111" s="52"/>
      <c r="F111" s="52"/>
      <c r="G111" s="52"/>
      <c r="H111" s="52"/>
      <c r="I111" s="52"/>
      <c r="J111" s="89" t="s">
        <v>4</v>
      </c>
      <c r="K111" s="108" t="s">
        <v>3</v>
      </c>
      <c r="L111" s="20">
        <f>L110+L108+L106+L104+L102+L100+L98+L97+L96+L94+L93+L92+L91</f>
        <v>260570.1</v>
      </c>
      <c r="M111" s="20">
        <f>M110+M108+M106+M104+M102+M100+M98+M97+M96+M94+M93+M92+M91</f>
        <v>285804.5</v>
      </c>
      <c r="N111" s="20">
        <f>N110+N108+N106+N104+N102+N100+N98+N97+N96+N94+N93+N92+N91</f>
        <v>285804.5</v>
      </c>
      <c r="O111" s="24">
        <f t="shared" si="26"/>
        <v>1</v>
      </c>
      <c r="P111" s="16"/>
      <c r="Q111" s="20">
        <f>N111</f>
        <v>285804.5</v>
      </c>
      <c r="R111" s="24">
        <f t="shared" si="18"/>
        <v>1</v>
      </c>
      <c r="S111" s="15"/>
    </row>
    <row r="112" spans="2:19" ht="37.5" customHeight="1" x14ac:dyDescent="0.3">
      <c r="B112" s="209" t="s">
        <v>468</v>
      </c>
      <c r="C112" s="224" t="s">
        <v>193</v>
      </c>
      <c r="D112" s="110" t="s">
        <v>13</v>
      </c>
      <c r="E112" s="199" t="s">
        <v>194</v>
      </c>
      <c r="F112" s="199"/>
      <c r="G112" s="199"/>
      <c r="H112" s="199"/>
      <c r="I112" s="199"/>
      <c r="J112" s="43" t="s">
        <v>195</v>
      </c>
      <c r="K112" s="107" t="s">
        <v>146</v>
      </c>
      <c r="L112" s="44">
        <v>16</v>
      </c>
      <c r="M112" s="44">
        <v>16</v>
      </c>
      <c r="N112" s="45" t="s">
        <v>0</v>
      </c>
      <c r="O112" s="44" t="s">
        <v>0</v>
      </c>
      <c r="P112" s="44"/>
      <c r="Q112" s="44">
        <v>15</v>
      </c>
      <c r="R112" s="24">
        <f t="shared" si="18"/>
        <v>0.93799999999999994</v>
      </c>
      <c r="S112" s="15"/>
    </row>
    <row r="113" spans="2:19" ht="31.5" x14ac:dyDescent="0.3">
      <c r="B113" s="209"/>
      <c r="C113" s="224"/>
      <c r="D113" s="47" t="s">
        <v>10</v>
      </c>
      <c r="E113" s="110" t="s">
        <v>196</v>
      </c>
      <c r="F113" s="110" t="s">
        <v>197</v>
      </c>
      <c r="G113" s="110" t="s">
        <v>149</v>
      </c>
      <c r="H113" s="110"/>
      <c r="I113" s="110" t="s">
        <v>5</v>
      </c>
      <c r="J113" s="49" t="s">
        <v>4</v>
      </c>
      <c r="K113" s="107" t="s">
        <v>3</v>
      </c>
      <c r="L113" s="74">
        <v>276.64</v>
      </c>
      <c r="M113" s="74">
        <v>481.6</v>
      </c>
      <c r="N113" s="74">
        <v>481.6</v>
      </c>
      <c r="O113" s="46">
        <v>1</v>
      </c>
      <c r="P113" s="45"/>
      <c r="Q113" s="74">
        <v>481.6</v>
      </c>
      <c r="R113" s="24">
        <f t="shared" si="18"/>
        <v>1</v>
      </c>
      <c r="S113" s="15"/>
    </row>
    <row r="114" spans="2:19" ht="37.5" customHeight="1" x14ac:dyDescent="0.3">
      <c r="B114" s="209" t="s">
        <v>469</v>
      </c>
      <c r="C114" s="222" t="s">
        <v>198</v>
      </c>
      <c r="D114" s="110" t="s">
        <v>13</v>
      </c>
      <c r="E114" s="199" t="s">
        <v>199</v>
      </c>
      <c r="F114" s="199"/>
      <c r="G114" s="199"/>
      <c r="H114" s="199"/>
      <c r="I114" s="199"/>
      <c r="J114" s="43" t="s">
        <v>195</v>
      </c>
      <c r="K114" s="107" t="s">
        <v>200</v>
      </c>
      <c r="L114" s="44">
        <v>5</v>
      </c>
      <c r="M114" s="44">
        <v>5</v>
      </c>
      <c r="N114" s="45" t="s">
        <v>29</v>
      </c>
      <c r="O114" s="44" t="s">
        <v>0</v>
      </c>
      <c r="P114" s="44"/>
      <c r="Q114" s="44">
        <v>4</v>
      </c>
      <c r="R114" s="24">
        <f t="shared" si="18"/>
        <v>0.8</v>
      </c>
      <c r="S114" s="15"/>
    </row>
    <row r="115" spans="2:19" ht="31.5" x14ac:dyDescent="0.3">
      <c r="B115" s="209"/>
      <c r="C115" s="222"/>
      <c r="D115" s="47" t="s">
        <v>10</v>
      </c>
      <c r="E115" s="110" t="s">
        <v>196</v>
      </c>
      <c r="F115" s="110" t="s">
        <v>197</v>
      </c>
      <c r="G115" s="110" t="s">
        <v>149</v>
      </c>
      <c r="H115" s="110" t="s">
        <v>201</v>
      </c>
      <c r="I115" s="110" t="s">
        <v>5</v>
      </c>
      <c r="J115" s="49" t="s">
        <v>4</v>
      </c>
      <c r="K115" s="107" t="s">
        <v>3</v>
      </c>
      <c r="L115" s="45">
        <v>67.599999999999994</v>
      </c>
      <c r="M115" s="45">
        <v>147</v>
      </c>
      <c r="N115" s="45">
        <v>147</v>
      </c>
      <c r="O115" s="46">
        <v>1</v>
      </c>
      <c r="P115" s="45"/>
      <c r="Q115" s="45">
        <v>147</v>
      </c>
      <c r="R115" s="24">
        <f t="shared" si="18"/>
        <v>1</v>
      </c>
      <c r="S115" s="15"/>
    </row>
    <row r="116" spans="2:19" ht="37.5" customHeight="1" x14ac:dyDescent="0.3">
      <c r="B116" s="209" t="s">
        <v>470</v>
      </c>
      <c r="C116" s="222" t="s">
        <v>202</v>
      </c>
      <c r="D116" s="110" t="s">
        <v>13</v>
      </c>
      <c r="E116" s="196" t="s">
        <v>203</v>
      </c>
      <c r="F116" s="196"/>
      <c r="G116" s="196"/>
      <c r="H116" s="196"/>
      <c r="I116" s="196"/>
      <c r="J116" s="49" t="s">
        <v>195</v>
      </c>
      <c r="K116" s="107" t="s">
        <v>146</v>
      </c>
      <c r="L116" s="114">
        <v>8</v>
      </c>
      <c r="M116" s="114">
        <v>8</v>
      </c>
      <c r="N116" s="45" t="s">
        <v>0</v>
      </c>
      <c r="O116" s="44" t="s">
        <v>0</v>
      </c>
      <c r="P116" s="107"/>
      <c r="Q116" s="114">
        <v>9</v>
      </c>
      <c r="R116" s="24">
        <f t="shared" si="18"/>
        <v>1.125</v>
      </c>
      <c r="S116" s="15"/>
    </row>
    <row r="117" spans="2:19" ht="31.5" x14ac:dyDescent="0.3">
      <c r="B117" s="209"/>
      <c r="C117" s="222"/>
      <c r="D117" s="110" t="s">
        <v>10</v>
      </c>
      <c r="E117" s="52">
        <v>903</v>
      </c>
      <c r="F117" s="110" t="s">
        <v>197</v>
      </c>
      <c r="G117" s="110" t="s">
        <v>149</v>
      </c>
      <c r="H117" s="110" t="s">
        <v>201</v>
      </c>
      <c r="I117" s="110" t="s">
        <v>5</v>
      </c>
      <c r="J117" s="49" t="s">
        <v>4</v>
      </c>
      <c r="K117" s="107" t="s">
        <v>3</v>
      </c>
      <c r="L117" s="94">
        <v>69.599999999999994</v>
      </c>
      <c r="M117" s="94">
        <v>123.2</v>
      </c>
      <c r="N117" s="94">
        <v>123.2</v>
      </c>
      <c r="O117" s="46">
        <v>1</v>
      </c>
      <c r="P117" s="107"/>
      <c r="Q117" s="144">
        <v>123.2</v>
      </c>
      <c r="R117" s="24">
        <f t="shared" si="18"/>
        <v>1</v>
      </c>
      <c r="S117" s="15"/>
    </row>
    <row r="118" spans="2:19" ht="37.5" customHeight="1" x14ac:dyDescent="0.3">
      <c r="B118" s="209" t="s">
        <v>471</v>
      </c>
      <c r="C118" s="197" t="s">
        <v>204</v>
      </c>
      <c r="D118" s="110" t="s">
        <v>13</v>
      </c>
      <c r="E118" s="196" t="s">
        <v>205</v>
      </c>
      <c r="F118" s="196"/>
      <c r="G118" s="196"/>
      <c r="H118" s="196"/>
      <c r="I118" s="196"/>
      <c r="J118" s="49" t="s">
        <v>206</v>
      </c>
      <c r="K118" s="107" t="s">
        <v>200</v>
      </c>
      <c r="L118" s="44">
        <v>3480</v>
      </c>
      <c r="M118" s="44">
        <v>3480</v>
      </c>
      <c r="N118" s="45" t="s">
        <v>0</v>
      </c>
      <c r="O118" s="44" t="s">
        <v>0</v>
      </c>
      <c r="P118" s="107"/>
      <c r="Q118" s="44">
        <v>3480</v>
      </c>
      <c r="R118" s="24">
        <f t="shared" si="18"/>
        <v>1</v>
      </c>
      <c r="S118" s="15"/>
    </row>
    <row r="119" spans="2:19" ht="31.5" x14ac:dyDescent="0.3">
      <c r="B119" s="209"/>
      <c r="C119" s="197"/>
      <c r="D119" s="110" t="s">
        <v>10</v>
      </c>
      <c r="E119" s="52">
        <v>903</v>
      </c>
      <c r="F119" s="110" t="s">
        <v>197</v>
      </c>
      <c r="G119" s="110" t="s">
        <v>149</v>
      </c>
      <c r="H119" s="110" t="s">
        <v>201</v>
      </c>
      <c r="I119" s="52">
        <v>611</v>
      </c>
      <c r="J119" s="49" t="s">
        <v>4</v>
      </c>
      <c r="K119" s="107" t="s">
        <v>3</v>
      </c>
      <c r="L119" s="93">
        <v>12178.51</v>
      </c>
      <c r="M119" s="93">
        <v>13840.5</v>
      </c>
      <c r="N119" s="93">
        <v>13840.5</v>
      </c>
      <c r="O119" s="46">
        <v>1</v>
      </c>
      <c r="P119" s="107"/>
      <c r="Q119" s="93">
        <v>13840.5</v>
      </c>
      <c r="R119" s="24">
        <f t="shared" si="18"/>
        <v>1</v>
      </c>
      <c r="S119" s="15"/>
    </row>
    <row r="120" spans="2:19" x14ac:dyDescent="0.3">
      <c r="B120" s="109"/>
      <c r="C120" s="51" t="s">
        <v>1</v>
      </c>
      <c r="D120" s="52"/>
      <c r="E120" s="52"/>
      <c r="F120" s="52"/>
      <c r="G120" s="52"/>
      <c r="H120" s="52"/>
      <c r="I120" s="52"/>
      <c r="J120" s="89"/>
      <c r="K120" s="108"/>
      <c r="L120" s="20">
        <f>L119+L117+L115+L113</f>
        <v>12592.4</v>
      </c>
      <c r="M120" s="20">
        <f t="shared" ref="M120:N120" si="27">M119+M117+M115+M113</f>
        <v>14592.3</v>
      </c>
      <c r="N120" s="20">
        <f t="shared" si="27"/>
        <v>14592.3</v>
      </c>
      <c r="O120" s="24">
        <f t="shared" ref="O120:O121" si="28">N120/M120</f>
        <v>1</v>
      </c>
      <c r="P120" s="16"/>
      <c r="Q120" s="20">
        <f>Q119+Q117+Q115+Q113</f>
        <v>14592.3</v>
      </c>
      <c r="R120" s="24">
        <f t="shared" si="18"/>
        <v>1</v>
      </c>
      <c r="S120" s="15"/>
    </row>
    <row r="121" spans="2:19" s="23" customFormat="1" x14ac:dyDescent="0.3">
      <c r="B121" s="77"/>
      <c r="C121" s="78" t="s">
        <v>2</v>
      </c>
      <c r="D121" s="79"/>
      <c r="E121" s="79"/>
      <c r="F121" s="79"/>
      <c r="G121" s="79"/>
      <c r="H121" s="79"/>
      <c r="I121" s="79"/>
      <c r="J121" s="80"/>
      <c r="K121" s="81"/>
      <c r="L121" s="90">
        <f t="shared" ref="L121:N121" si="29">L120+L111</f>
        <v>273162.5</v>
      </c>
      <c r="M121" s="90">
        <f t="shared" si="29"/>
        <v>300396.79999999999</v>
      </c>
      <c r="N121" s="90">
        <f t="shared" si="29"/>
        <v>300396.79999999999</v>
      </c>
      <c r="O121" s="24">
        <f t="shared" si="28"/>
        <v>1</v>
      </c>
      <c r="P121" s="81"/>
      <c r="Q121" s="90">
        <f>Q120+Q111</f>
        <v>300396.79999999999</v>
      </c>
      <c r="R121" s="24">
        <f t="shared" si="18"/>
        <v>1</v>
      </c>
      <c r="S121" s="85"/>
    </row>
    <row r="122" spans="2:19" s="23" customFormat="1" ht="25.5" customHeight="1" x14ac:dyDescent="0.3">
      <c r="B122" s="77" t="s">
        <v>366</v>
      </c>
      <c r="C122" s="262" t="s">
        <v>472</v>
      </c>
      <c r="D122" s="263"/>
      <c r="E122" s="263"/>
      <c r="F122" s="263"/>
      <c r="G122" s="263"/>
      <c r="H122" s="263"/>
      <c r="I122" s="263"/>
      <c r="J122" s="263"/>
      <c r="K122" s="263"/>
      <c r="L122" s="263"/>
      <c r="M122" s="185"/>
      <c r="N122" s="186"/>
      <c r="O122" s="81"/>
      <c r="P122" s="81"/>
      <c r="Q122" s="90"/>
      <c r="R122" s="83"/>
      <c r="S122" s="85"/>
    </row>
    <row r="123" spans="2:19" s="23" customFormat="1" ht="57" customHeight="1" x14ac:dyDescent="0.3">
      <c r="B123" s="209" t="s">
        <v>473</v>
      </c>
      <c r="C123" s="220" t="s">
        <v>383</v>
      </c>
      <c r="D123" s="110" t="s">
        <v>13</v>
      </c>
      <c r="E123" s="196" t="s">
        <v>384</v>
      </c>
      <c r="F123" s="199"/>
      <c r="G123" s="199"/>
      <c r="H123" s="199"/>
      <c r="I123" s="199"/>
      <c r="J123" s="49" t="s">
        <v>385</v>
      </c>
      <c r="K123" s="107" t="s">
        <v>386</v>
      </c>
      <c r="L123" s="45">
        <v>25</v>
      </c>
      <c r="M123" s="45">
        <v>25</v>
      </c>
      <c r="N123" s="45" t="s">
        <v>0</v>
      </c>
      <c r="O123" s="45" t="s">
        <v>0</v>
      </c>
      <c r="P123" s="45"/>
      <c r="Q123" s="45">
        <v>25</v>
      </c>
      <c r="R123" s="24">
        <v>1</v>
      </c>
      <c r="S123" s="85"/>
    </row>
    <row r="124" spans="2:19" s="23" customFormat="1" ht="31.5" x14ac:dyDescent="0.3">
      <c r="B124" s="209"/>
      <c r="C124" s="220"/>
      <c r="D124" s="47" t="s">
        <v>10</v>
      </c>
      <c r="E124" s="110" t="s">
        <v>378</v>
      </c>
      <c r="F124" s="110" t="s">
        <v>8</v>
      </c>
      <c r="G124" s="110" t="s">
        <v>197</v>
      </c>
      <c r="H124" s="110" t="s">
        <v>387</v>
      </c>
      <c r="I124" s="110" t="s">
        <v>150</v>
      </c>
      <c r="J124" s="49" t="s">
        <v>4</v>
      </c>
      <c r="K124" s="107" t="s">
        <v>3</v>
      </c>
      <c r="L124" s="45">
        <v>3988.5</v>
      </c>
      <c r="M124" s="45">
        <v>3988.5</v>
      </c>
      <c r="N124" s="45">
        <v>3988.5</v>
      </c>
      <c r="O124" s="24">
        <f>N124/M124</f>
        <v>1</v>
      </c>
      <c r="P124" s="45"/>
      <c r="Q124" s="45">
        <v>3988.5</v>
      </c>
      <c r="R124" s="24">
        <v>1</v>
      </c>
      <c r="S124" s="85"/>
    </row>
    <row r="125" spans="2:19" s="23" customFormat="1" ht="63" x14ac:dyDescent="0.3">
      <c r="B125" s="196" t="s">
        <v>474</v>
      </c>
      <c r="C125" s="220" t="s">
        <v>388</v>
      </c>
      <c r="D125" s="110" t="s">
        <v>13</v>
      </c>
      <c r="E125" s="196" t="s">
        <v>389</v>
      </c>
      <c r="F125" s="199"/>
      <c r="G125" s="199"/>
      <c r="H125" s="199"/>
      <c r="I125" s="199"/>
      <c r="J125" s="49" t="s">
        <v>390</v>
      </c>
      <c r="K125" s="107" t="s">
        <v>386</v>
      </c>
      <c r="L125" s="45">
        <v>50</v>
      </c>
      <c r="M125" s="45">
        <v>50</v>
      </c>
      <c r="N125" s="45" t="s">
        <v>0</v>
      </c>
      <c r="O125" s="45" t="s">
        <v>0</v>
      </c>
      <c r="P125" s="45"/>
      <c r="Q125" s="45">
        <v>50</v>
      </c>
      <c r="R125" s="24">
        <v>1</v>
      </c>
      <c r="S125" s="85"/>
    </row>
    <row r="126" spans="2:19" s="23" customFormat="1" ht="31.5" x14ac:dyDescent="0.3">
      <c r="B126" s="206"/>
      <c r="C126" s="220"/>
      <c r="D126" s="47" t="s">
        <v>10</v>
      </c>
      <c r="E126" s="110" t="s">
        <v>378</v>
      </c>
      <c r="F126" s="110" t="s">
        <v>8</v>
      </c>
      <c r="G126" s="110" t="s">
        <v>197</v>
      </c>
      <c r="H126" s="110" t="s">
        <v>387</v>
      </c>
      <c r="I126" s="110" t="s">
        <v>150</v>
      </c>
      <c r="J126" s="49" t="s">
        <v>4</v>
      </c>
      <c r="K126" s="107" t="s">
        <v>3</v>
      </c>
      <c r="L126" s="45">
        <v>2213</v>
      </c>
      <c r="M126" s="45">
        <v>2213</v>
      </c>
      <c r="N126" s="45">
        <v>2213</v>
      </c>
      <c r="O126" s="24">
        <f>N126/M126</f>
        <v>1</v>
      </c>
      <c r="P126" s="45"/>
      <c r="Q126" s="45">
        <v>2213</v>
      </c>
      <c r="R126" s="24">
        <v>1</v>
      </c>
      <c r="S126" s="85"/>
    </row>
    <row r="127" spans="2:19" s="23" customFormat="1" ht="47.25" x14ac:dyDescent="0.3">
      <c r="B127" s="196" t="s">
        <v>475</v>
      </c>
      <c r="C127" s="218" t="s">
        <v>391</v>
      </c>
      <c r="D127" s="110" t="s">
        <v>13</v>
      </c>
      <c r="E127" s="196" t="s">
        <v>392</v>
      </c>
      <c r="F127" s="199"/>
      <c r="G127" s="199"/>
      <c r="H127" s="199"/>
      <c r="I127" s="199"/>
      <c r="J127" s="49" t="s">
        <v>393</v>
      </c>
      <c r="K127" s="107" t="s">
        <v>386</v>
      </c>
      <c r="L127" s="45">
        <v>37</v>
      </c>
      <c r="M127" s="45">
        <v>37</v>
      </c>
      <c r="N127" s="45" t="s">
        <v>0</v>
      </c>
      <c r="O127" s="45" t="s">
        <v>0</v>
      </c>
      <c r="P127" s="45"/>
      <c r="Q127" s="45">
        <v>37</v>
      </c>
      <c r="R127" s="24">
        <v>1</v>
      </c>
      <c r="S127" s="85"/>
    </row>
    <row r="128" spans="2:19" s="23" customFormat="1" ht="31.5" x14ac:dyDescent="0.3">
      <c r="B128" s="206"/>
      <c r="C128" s="197"/>
      <c r="D128" s="47" t="s">
        <v>10</v>
      </c>
      <c r="E128" s="110" t="s">
        <v>378</v>
      </c>
      <c r="F128" s="110" t="s">
        <v>8</v>
      </c>
      <c r="G128" s="110" t="s">
        <v>197</v>
      </c>
      <c r="H128" s="110" t="s">
        <v>387</v>
      </c>
      <c r="I128" s="110" t="s">
        <v>150</v>
      </c>
      <c r="J128" s="49" t="s">
        <v>4</v>
      </c>
      <c r="K128" s="107" t="s">
        <v>3</v>
      </c>
      <c r="L128" s="45">
        <v>324.2</v>
      </c>
      <c r="M128" s="45">
        <v>324.2</v>
      </c>
      <c r="N128" s="45">
        <v>324.2</v>
      </c>
      <c r="O128" s="24">
        <f>N128/M128</f>
        <v>1</v>
      </c>
      <c r="P128" s="45"/>
      <c r="Q128" s="45">
        <v>324.2</v>
      </c>
      <c r="R128" s="24">
        <v>1</v>
      </c>
      <c r="S128" s="85"/>
    </row>
    <row r="129" spans="2:19" s="23" customFormat="1" ht="63" x14ac:dyDescent="0.3">
      <c r="B129" s="196" t="s">
        <v>476</v>
      </c>
      <c r="C129" s="207" t="s">
        <v>394</v>
      </c>
      <c r="D129" s="110" t="s">
        <v>13</v>
      </c>
      <c r="E129" s="196" t="s">
        <v>395</v>
      </c>
      <c r="F129" s="196"/>
      <c r="G129" s="196"/>
      <c r="H129" s="196"/>
      <c r="I129" s="196"/>
      <c r="J129" s="49" t="s">
        <v>396</v>
      </c>
      <c r="K129" s="107" t="s">
        <v>386</v>
      </c>
      <c r="L129" s="45" t="s">
        <v>397</v>
      </c>
      <c r="M129" s="45" t="s">
        <v>397</v>
      </c>
      <c r="N129" s="104"/>
      <c r="O129" s="104"/>
      <c r="P129" s="104"/>
      <c r="Q129" s="45" t="s">
        <v>397</v>
      </c>
      <c r="R129" s="24">
        <v>1</v>
      </c>
      <c r="S129" s="85"/>
    </row>
    <row r="130" spans="2:19" s="23" customFormat="1" ht="31.5" x14ac:dyDescent="0.3">
      <c r="B130" s="206"/>
      <c r="C130" s="208"/>
      <c r="D130" s="47" t="s">
        <v>10</v>
      </c>
      <c r="E130" s="110" t="s">
        <v>378</v>
      </c>
      <c r="F130" s="110" t="s">
        <v>8</v>
      </c>
      <c r="G130" s="110" t="s">
        <v>197</v>
      </c>
      <c r="H130" s="110" t="s">
        <v>387</v>
      </c>
      <c r="I130" s="110" t="s">
        <v>150</v>
      </c>
      <c r="J130" s="49" t="s">
        <v>4</v>
      </c>
      <c r="K130" s="107" t="s">
        <v>3</v>
      </c>
      <c r="L130" s="45" t="s">
        <v>398</v>
      </c>
      <c r="M130" s="45" t="s">
        <v>398</v>
      </c>
      <c r="N130" s="45" t="s">
        <v>398</v>
      </c>
      <c r="O130" s="24">
        <f>N130/M130</f>
        <v>1</v>
      </c>
      <c r="P130" s="104"/>
      <c r="Q130" s="45" t="s">
        <v>398</v>
      </c>
      <c r="R130" s="24">
        <v>1</v>
      </c>
      <c r="S130" s="85"/>
    </row>
    <row r="131" spans="2:19" s="23" customFormat="1" ht="63" x14ac:dyDescent="0.3">
      <c r="B131" s="196" t="s">
        <v>477</v>
      </c>
      <c r="C131" s="219" t="s">
        <v>399</v>
      </c>
      <c r="D131" s="110" t="s">
        <v>13</v>
      </c>
      <c r="E131" s="196" t="s">
        <v>400</v>
      </c>
      <c r="F131" s="199"/>
      <c r="G131" s="199"/>
      <c r="H131" s="199"/>
      <c r="I131" s="199"/>
      <c r="J131" s="49" t="s">
        <v>401</v>
      </c>
      <c r="K131" s="110" t="s">
        <v>402</v>
      </c>
      <c r="L131" s="45">
        <v>12</v>
      </c>
      <c r="M131" s="45" t="s">
        <v>100</v>
      </c>
      <c r="N131" s="104" t="s">
        <v>0</v>
      </c>
      <c r="O131" s="104" t="s">
        <v>0</v>
      </c>
      <c r="P131" s="104"/>
      <c r="Q131" s="45" t="s">
        <v>100</v>
      </c>
      <c r="R131" s="24">
        <v>1</v>
      </c>
      <c r="S131" s="85"/>
    </row>
    <row r="132" spans="2:19" s="23" customFormat="1" ht="31.5" x14ac:dyDescent="0.3">
      <c r="B132" s="206"/>
      <c r="C132" s="219"/>
      <c r="D132" s="47" t="s">
        <v>10</v>
      </c>
      <c r="E132" s="110" t="s">
        <v>378</v>
      </c>
      <c r="F132" s="110" t="s">
        <v>8</v>
      </c>
      <c r="G132" s="110" t="s">
        <v>197</v>
      </c>
      <c r="H132" s="110" t="s">
        <v>387</v>
      </c>
      <c r="I132" s="110" t="s">
        <v>150</v>
      </c>
      <c r="J132" s="49" t="s">
        <v>4</v>
      </c>
      <c r="K132" s="107" t="s">
        <v>3</v>
      </c>
      <c r="L132" s="45">
        <v>96802.8</v>
      </c>
      <c r="M132" s="45">
        <v>96800.8</v>
      </c>
      <c r="N132" s="45">
        <v>96800.8</v>
      </c>
      <c r="O132" s="24">
        <f>N132/M132</f>
        <v>1</v>
      </c>
      <c r="P132" s="104"/>
      <c r="Q132" s="45">
        <v>96802.8</v>
      </c>
      <c r="R132" s="24">
        <v>1</v>
      </c>
      <c r="S132" s="85"/>
    </row>
    <row r="133" spans="2:19" s="23" customFormat="1" ht="31.5" x14ac:dyDescent="0.3">
      <c r="B133" s="196" t="s">
        <v>478</v>
      </c>
      <c r="C133" s="207" t="s">
        <v>403</v>
      </c>
      <c r="D133" s="110" t="s">
        <v>13</v>
      </c>
      <c r="E133" s="196" t="s">
        <v>404</v>
      </c>
      <c r="F133" s="199"/>
      <c r="G133" s="199"/>
      <c r="H133" s="199"/>
      <c r="I133" s="199"/>
      <c r="J133" s="49" t="s">
        <v>405</v>
      </c>
      <c r="K133" s="110" t="s">
        <v>406</v>
      </c>
      <c r="L133" s="45">
        <v>1129749</v>
      </c>
      <c r="M133" s="45">
        <v>1129749</v>
      </c>
      <c r="N133" s="104" t="s">
        <v>0</v>
      </c>
      <c r="O133" s="104" t="s">
        <v>0</v>
      </c>
      <c r="P133" s="104"/>
      <c r="Q133" s="45">
        <v>1129749</v>
      </c>
      <c r="R133" s="24">
        <v>1</v>
      </c>
      <c r="S133" s="85"/>
    </row>
    <row r="134" spans="2:19" s="23" customFormat="1" ht="31.5" x14ac:dyDescent="0.3">
      <c r="B134" s="215"/>
      <c r="C134" s="208"/>
      <c r="D134" s="47" t="s">
        <v>10</v>
      </c>
      <c r="E134" s="110" t="s">
        <v>378</v>
      </c>
      <c r="F134" s="110" t="s">
        <v>8</v>
      </c>
      <c r="G134" s="110" t="s">
        <v>197</v>
      </c>
      <c r="H134" s="110" t="s">
        <v>387</v>
      </c>
      <c r="I134" s="110" t="s">
        <v>150</v>
      </c>
      <c r="J134" s="49" t="s">
        <v>4</v>
      </c>
      <c r="K134" s="107" t="s">
        <v>3</v>
      </c>
      <c r="L134" s="45">
        <v>5307.2</v>
      </c>
      <c r="M134" s="45">
        <v>5309.2</v>
      </c>
      <c r="N134" s="45">
        <v>5309.2</v>
      </c>
      <c r="O134" s="24">
        <f>N134/M134</f>
        <v>1</v>
      </c>
      <c r="P134" s="104"/>
      <c r="Q134" s="45">
        <v>5307.2</v>
      </c>
      <c r="R134" s="24">
        <v>1</v>
      </c>
      <c r="S134" s="85"/>
    </row>
    <row r="135" spans="2:19" s="23" customFormat="1" ht="31.5" x14ac:dyDescent="0.3">
      <c r="B135" s="196" t="s">
        <v>479</v>
      </c>
      <c r="C135" s="216" t="s">
        <v>407</v>
      </c>
      <c r="D135" s="110" t="s">
        <v>13</v>
      </c>
      <c r="E135" s="196" t="s">
        <v>408</v>
      </c>
      <c r="F135" s="199"/>
      <c r="G135" s="199"/>
      <c r="H135" s="199"/>
      <c r="I135" s="199"/>
      <c r="J135" s="49" t="s">
        <v>409</v>
      </c>
      <c r="K135" s="110" t="s">
        <v>406</v>
      </c>
      <c r="L135" s="45">
        <v>3915000</v>
      </c>
      <c r="M135" s="45">
        <v>3915000</v>
      </c>
      <c r="N135" s="104" t="s">
        <v>0</v>
      </c>
      <c r="O135" s="104" t="s">
        <v>0</v>
      </c>
      <c r="P135" s="104"/>
      <c r="Q135" s="45">
        <v>3915000</v>
      </c>
      <c r="R135" s="24">
        <v>1</v>
      </c>
      <c r="S135" s="85"/>
    </row>
    <row r="136" spans="2:19" s="23" customFormat="1" ht="31.5" x14ac:dyDescent="0.3">
      <c r="B136" s="215"/>
      <c r="C136" s="217"/>
      <c r="D136" s="47" t="s">
        <v>10</v>
      </c>
      <c r="E136" s="110" t="s">
        <v>378</v>
      </c>
      <c r="F136" s="110" t="s">
        <v>8</v>
      </c>
      <c r="G136" s="110" t="s">
        <v>197</v>
      </c>
      <c r="H136" s="110" t="s">
        <v>387</v>
      </c>
      <c r="I136" s="110" t="s">
        <v>150</v>
      </c>
      <c r="J136" s="49" t="s">
        <v>4</v>
      </c>
      <c r="K136" s="107" t="s">
        <v>3</v>
      </c>
      <c r="L136" s="45">
        <v>20310.8</v>
      </c>
      <c r="M136" s="45" t="s">
        <v>410</v>
      </c>
      <c r="N136" s="45" t="s">
        <v>410</v>
      </c>
      <c r="O136" s="24">
        <f>N136/M136</f>
        <v>1</v>
      </c>
      <c r="P136" s="104"/>
      <c r="Q136" s="45" t="s">
        <v>411</v>
      </c>
      <c r="R136" s="24">
        <v>1</v>
      </c>
      <c r="S136" s="85"/>
    </row>
    <row r="137" spans="2:19" s="23" customFormat="1" ht="31.5" x14ac:dyDescent="0.3">
      <c r="B137" s="196" t="s">
        <v>480</v>
      </c>
      <c r="C137" s="207" t="s">
        <v>412</v>
      </c>
      <c r="D137" s="110" t="s">
        <v>13</v>
      </c>
      <c r="E137" s="196" t="s">
        <v>413</v>
      </c>
      <c r="F137" s="199"/>
      <c r="G137" s="199"/>
      <c r="H137" s="199"/>
      <c r="I137" s="199"/>
      <c r="J137" s="49" t="s">
        <v>414</v>
      </c>
      <c r="K137" s="110" t="s">
        <v>406</v>
      </c>
      <c r="L137" s="45">
        <v>715.5</v>
      </c>
      <c r="M137" s="45">
        <f>[1]Байгол!N141+[1]Турочак!N141+[1]Шебалино!N141+[1]Каракокша!N141+'[1]Кош-Агач'!N141+[1]Онгудай!N141+[1]Улаган!N141+'[1]Усть-Кан'!N141+'[1]Усть-Кокса'!N141+[1]Чемал!N141+'[1]Авиалесоохрана '!N141</f>
        <v>0</v>
      </c>
      <c r="N137" s="104" t="s">
        <v>0</v>
      </c>
      <c r="O137" s="104" t="s">
        <v>0</v>
      </c>
      <c r="P137" s="104"/>
      <c r="Q137" s="45" t="s">
        <v>415</v>
      </c>
      <c r="R137" s="24">
        <v>1</v>
      </c>
      <c r="S137" s="85"/>
    </row>
    <row r="138" spans="2:19" s="23" customFormat="1" ht="31.5" x14ac:dyDescent="0.3">
      <c r="B138" s="215"/>
      <c r="C138" s="208"/>
      <c r="D138" s="47" t="s">
        <v>10</v>
      </c>
      <c r="E138" s="110" t="s">
        <v>378</v>
      </c>
      <c r="F138" s="110" t="s">
        <v>8</v>
      </c>
      <c r="G138" s="110" t="s">
        <v>197</v>
      </c>
      <c r="H138" s="110" t="s">
        <v>387</v>
      </c>
      <c r="I138" s="110" t="s">
        <v>150</v>
      </c>
      <c r="J138" s="49" t="s">
        <v>4</v>
      </c>
      <c r="K138" s="107" t="s">
        <v>3</v>
      </c>
      <c r="L138" s="45">
        <v>8000</v>
      </c>
      <c r="M138" s="45">
        <f>44529</f>
        <v>44529</v>
      </c>
      <c r="N138" s="45">
        <f>M138</f>
        <v>44529</v>
      </c>
      <c r="O138" s="24">
        <f>N138/M138</f>
        <v>1</v>
      </c>
      <c r="P138" s="104"/>
      <c r="Q138" s="45">
        <v>44529</v>
      </c>
      <c r="R138" s="24">
        <v>1</v>
      </c>
      <c r="S138" s="85"/>
    </row>
    <row r="139" spans="2:19" s="23" customFormat="1" ht="47.25" x14ac:dyDescent="0.3">
      <c r="B139" s="196" t="s">
        <v>481</v>
      </c>
      <c r="C139" s="218" t="s">
        <v>416</v>
      </c>
      <c r="D139" s="110" t="s">
        <v>13</v>
      </c>
      <c r="E139" s="196" t="s">
        <v>417</v>
      </c>
      <c r="F139" s="199"/>
      <c r="G139" s="199"/>
      <c r="H139" s="199"/>
      <c r="I139" s="199"/>
      <c r="J139" s="49" t="s">
        <v>418</v>
      </c>
      <c r="K139" s="110" t="s">
        <v>406</v>
      </c>
      <c r="L139" s="45">
        <v>1900</v>
      </c>
      <c r="M139" s="45" t="s">
        <v>419</v>
      </c>
      <c r="N139" s="104" t="s">
        <v>0</v>
      </c>
      <c r="O139" s="104" t="s">
        <v>0</v>
      </c>
      <c r="P139" s="104"/>
      <c r="Q139" s="45" t="s">
        <v>419</v>
      </c>
      <c r="R139" s="24">
        <v>1</v>
      </c>
      <c r="S139" s="85"/>
    </row>
    <row r="140" spans="2:19" s="23" customFormat="1" ht="31.5" x14ac:dyDescent="0.3">
      <c r="B140" s="215"/>
      <c r="C140" s="197"/>
      <c r="D140" s="47" t="s">
        <v>10</v>
      </c>
      <c r="E140" s="110" t="s">
        <v>378</v>
      </c>
      <c r="F140" s="110" t="s">
        <v>8</v>
      </c>
      <c r="G140" s="110" t="s">
        <v>197</v>
      </c>
      <c r="H140" s="110" t="s">
        <v>420</v>
      </c>
      <c r="I140" s="110" t="s">
        <v>150</v>
      </c>
      <c r="J140" s="49" t="s">
        <v>4</v>
      </c>
      <c r="K140" s="107" t="s">
        <v>3</v>
      </c>
      <c r="L140" s="45">
        <v>387.6</v>
      </c>
      <c r="M140" s="45">
        <v>387.6</v>
      </c>
      <c r="N140" s="45">
        <v>387.6</v>
      </c>
      <c r="O140" s="24">
        <f>N140/M140</f>
        <v>1</v>
      </c>
      <c r="P140" s="104"/>
      <c r="Q140" s="45">
        <v>387.6</v>
      </c>
      <c r="R140" s="24">
        <v>1</v>
      </c>
      <c r="S140" s="85"/>
    </row>
    <row r="141" spans="2:19" s="23" customFormat="1" ht="31.5" x14ac:dyDescent="0.3">
      <c r="B141" s="196" t="s">
        <v>482</v>
      </c>
      <c r="C141" s="207" t="s">
        <v>421</v>
      </c>
      <c r="D141" s="110" t="s">
        <v>13</v>
      </c>
      <c r="E141" s="196" t="s">
        <v>422</v>
      </c>
      <c r="F141" s="199"/>
      <c r="G141" s="199"/>
      <c r="H141" s="199"/>
      <c r="I141" s="199"/>
      <c r="J141" s="49" t="s">
        <v>423</v>
      </c>
      <c r="K141" s="110" t="s">
        <v>406</v>
      </c>
      <c r="L141" s="45">
        <v>200</v>
      </c>
      <c r="M141" s="45">
        <v>200</v>
      </c>
      <c r="N141" s="104" t="s">
        <v>0</v>
      </c>
      <c r="O141" s="104" t="s">
        <v>0</v>
      </c>
      <c r="P141" s="104"/>
      <c r="Q141" s="45">
        <v>200</v>
      </c>
      <c r="R141" s="24">
        <v>1</v>
      </c>
      <c r="S141" s="85"/>
    </row>
    <row r="142" spans="2:19" s="23" customFormat="1" ht="31.5" x14ac:dyDescent="0.3">
      <c r="B142" s="215"/>
      <c r="C142" s="208"/>
      <c r="D142" s="47" t="s">
        <v>10</v>
      </c>
      <c r="E142" s="110" t="s">
        <v>378</v>
      </c>
      <c r="F142" s="110" t="s">
        <v>8</v>
      </c>
      <c r="G142" s="110" t="s">
        <v>197</v>
      </c>
      <c r="H142" s="110" t="s">
        <v>420</v>
      </c>
      <c r="I142" s="110" t="s">
        <v>150</v>
      </c>
      <c r="J142" s="49" t="s">
        <v>4</v>
      </c>
      <c r="K142" s="107" t="s">
        <v>3</v>
      </c>
      <c r="L142" s="45">
        <v>2753.6</v>
      </c>
      <c r="M142" s="45">
        <v>2753.6</v>
      </c>
      <c r="N142" s="45">
        <v>2753.6</v>
      </c>
      <c r="O142" s="24">
        <f>N142/M142</f>
        <v>1</v>
      </c>
      <c r="P142" s="104"/>
      <c r="Q142" s="45">
        <v>2753.6</v>
      </c>
      <c r="R142" s="24">
        <v>1</v>
      </c>
      <c r="S142" s="85"/>
    </row>
    <row r="143" spans="2:19" s="23" customFormat="1" ht="31.5" x14ac:dyDescent="0.3">
      <c r="B143" s="196" t="s">
        <v>483</v>
      </c>
      <c r="C143" s="207" t="s">
        <v>424</v>
      </c>
      <c r="D143" s="110" t="s">
        <v>13</v>
      </c>
      <c r="E143" s="196" t="s">
        <v>425</v>
      </c>
      <c r="F143" s="199"/>
      <c r="G143" s="199"/>
      <c r="H143" s="199"/>
      <c r="I143" s="199"/>
      <c r="J143" s="49" t="s">
        <v>426</v>
      </c>
      <c r="K143" s="110" t="s">
        <v>406</v>
      </c>
      <c r="L143" s="45">
        <v>30.7</v>
      </c>
      <c r="M143" s="45" t="s">
        <v>427</v>
      </c>
      <c r="N143" s="104" t="s">
        <v>0</v>
      </c>
      <c r="O143" s="104" t="s">
        <v>0</v>
      </c>
      <c r="P143" s="104"/>
      <c r="Q143" s="45" t="s">
        <v>427</v>
      </c>
      <c r="R143" s="24">
        <v>1</v>
      </c>
      <c r="S143" s="85"/>
    </row>
    <row r="144" spans="2:19" s="23" customFormat="1" ht="31.5" x14ac:dyDescent="0.3">
      <c r="B144" s="215"/>
      <c r="C144" s="208"/>
      <c r="D144" s="47" t="s">
        <v>10</v>
      </c>
      <c r="E144" s="110" t="s">
        <v>378</v>
      </c>
      <c r="F144" s="110" t="s">
        <v>8</v>
      </c>
      <c r="G144" s="110" t="s">
        <v>197</v>
      </c>
      <c r="H144" s="110" t="s">
        <v>428</v>
      </c>
      <c r="I144" s="110" t="s">
        <v>150</v>
      </c>
      <c r="J144" s="49" t="s">
        <v>4</v>
      </c>
      <c r="K144" s="107" t="s">
        <v>3</v>
      </c>
      <c r="L144" s="45">
        <v>710.1</v>
      </c>
      <c r="M144" s="45" t="s">
        <v>429</v>
      </c>
      <c r="N144" s="45" t="s">
        <v>429</v>
      </c>
      <c r="O144" s="24">
        <f>N144/M144</f>
        <v>1</v>
      </c>
      <c r="P144" s="104"/>
      <c r="Q144" s="45" t="s">
        <v>429</v>
      </c>
      <c r="R144" s="24">
        <v>1</v>
      </c>
      <c r="S144" s="85"/>
    </row>
    <row r="145" spans="2:19" s="23" customFormat="1" ht="31.5" x14ac:dyDescent="0.3">
      <c r="B145" s="196" t="s">
        <v>484</v>
      </c>
      <c r="C145" s="207" t="s">
        <v>430</v>
      </c>
      <c r="D145" s="110" t="s">
        <v>13</v>
      </c>
      <c r="E145" s="196" t="s">
        <v>431</v>
      </c>
      <c r="F145" s="199"/>
      <c r="G145" s="199"/>
      <c r="H145" s="199"/>
      <c r="I145" s="199"/>
      <c r="J145" s="49" t="s">
        <v>432</v>
      </c>
      <c r="K145" s="110" t="s">
        <v>406</v>
      </c>
      <c r="L145" s="45">
        <v>35</v>
      </c>
      <c r="M145" s="45" t="s">
        <v>433</v>
      </c>
      <c r="N145" s="104" t="s">
        <v>0</v>
      </c>
      <c r="O145" s="104" t="s">
        <v>0</v>
      </c>
      <c r="P145" s="104"/>
      <c r="Q145" s="45" t="s">
        <v>433</v>
      </c>
      <c r="R145" s="24">
        <v>1</v>
      </c>
      <c r="S145" s="85"/>
    </row>
    <row r="146" spans="2:19" s="23" customFormat="1" ht="31.5" x14ac:dyDescent="0.3">
      <c r="B146" s="215"/>
      <c r="C146" s="208"/>
      <c r="D146" s="47" t="s">
        <v>10</v>
      </c>
      <c r="E146" s="110" t="s">
        <v>378</v>
      </c>
      <c r="F146" s="110" t="s">
        <v>8</v>
      </c>
      <c r="G146" s="110" t="s">
        <v>197</v>
      </c>
      <c r="H146" s="110" t="s">
        <v>428</v>
      </c>
      <c r="I146" s="110" t="s">
        <v>150</v>
      </c>
      <c r="J146" s="49" t="s">
        <v>4</v>
      </c>
      <c r="K146" s="107" t="s">
        <v>3</v>
      </c>
      <c r="L146" s="45">
        <v>252</v>
      </c>
      <c r="M146" s="45" t="s">
        <v>434</v>
      </c>
      <c r="N146" s="45" t="s">
        <v>434</v>
      </c>
      <c r="O146" s="24">
        <f>N146/M146</f>
        <v>1</v>
      </c>
      <c r="P146" s="104"/>
      <c r="Q146" s="45" t="s">
        <v>434</v>
      </c>
      <c r="R146" s="24">
        <v>1</v>
      </c>
      <c r="S146" s="85"/>
    </row>
    <row r="147" spans="2:19" s="23" customFormat="1" ht="31.5" x14ac:dyDescent="0.3">
      <c r="B147" s="196" t="s">
        <v>485</v>
      </c>
      <c r="C147" s="207" t="s">
        <v>435</v>
      </c>
      <c r="D147" s="110" t="s">
        <v>13</v>
      </c>
      <c r="E147" s="196" t="s">
        <v>436</v>
      </c>
      <c r="F147" s="199"/>
      <c r="G147" s="199"/>
      <c r="H147" s="199"/>
      <c r="I147" s="199"/>
      <c r="J147" s="49" t="s">
        <v>432</v>
      </c>
      <c r="K147" s="110" t="s">
        <v>406</v>
      </c>
      <c r="L147" s="45">
        <v>40</v>
      </c>
      <c r="M147" s="45" t="s">
        <v>437</v>
      </c>
      <c r="N147" s="104" t="s">
        <v>0</v>
      </c>
      <c r="O147" s="104" t="s">
        <v>0</v>
      </c>
      <c r="P147" s="104"/>
      <c r="Q147" s="45" t="s">
        <v>437</v>
      </c>
      <c r="R147" s="24">
        <v>1</v>
      </c>
      <c r="S147" s="85"/>
    </row>
    <row r="148" spans="2:19" s="23" customFormat="1" ht="31.5" x14ac:dyDescent="0.3">
      <c r="B148" s="215"/>
      <c r="C148" s="208"/>
      <c r="D148" s="47" t="s">
        <v>10</v>
      </c>
      <c r="E148" s="110" t="s">
        <v>378</v>
      </c>
      <c r="F148" s="110" t="s">
        <v>8</v>
      </c>
      <c r="G148" s="110" t="s">
        <v>197</v>
      </c>
      <c r="H148" s="110" t="s">
        <v>428</v>
      </c>
      <c r="I148" s="110" t="s">
        <v>150</v>
      </c>
      <c r="J148" s="49" t="s">
        <v>4</v>
      </c>
      <c r="K148" s="107" t="s">
        <v>3</v>
      </c>
      <c r="L148" s="45">
        <v>705.4</v>
      </c>
      <c r="M148" s="45" t="s">
        <v>438</v>
      </c>
      <c r="N148" s="45" t="s">
        <v>438</v>
      </c>
      <c r="O148" s="24">
        <f>N148/M148</f>
        <v>1</v>
      </c>
      <c r="P148" s="104"/>
      <c r="Q148" s="45" t="s">
        <v>438</v>
      </c>
      <c r="R148" s="24">
        <v>1</v>
      </c>
      <c r="S148" s="85"/>
    </row>
    <row r="149" spans="2:19" s="23" customFormat="1" ht="31.5" x14ac:dyDescent="0.3">
      <c r="B149" s="196" t="s">
        <v>486</v>
      </c>
      <c r="C149" s="207" t="s">
        <v>439</v>
      </c>
      <c r="D149" s="110" t="s">
        <v>13</v>
      </c>
      <c r="E149" s="196" t="s">
        <v>440</v>
      </c>
      <c r="F149" s="199"/>
      <c r="G149" s="199"/>
      <c r="H149" s="199"/>
      <c r="I149" s="199"/>
      <c r="J149" s="49" t="s">
        <v>441</v>
      </c>
      <c r="K149" s="110" t="s">
        <v>442</v>
      </c>
      <c r="L149" s="45">
        <v>721.6</v>
      </c>
      <c r="M149" s="45" t="s">
        <v>443</v>
      </c>
      <c r="N149" s="104" t="s">
        <v>0</v>
      </c>
      <c r="O149" s="104" t="s">
        <v>0</v>
      </c>
      <c r="P149" s="104"/>
      <c r="Q149" s="45" t="s">
        <v>443</v>
      </c>
      <c r="R149" s="24">
        <v>1</v>
      </c>
      <c r="S149" s="85"/>
    </row>
    <row r="150" spans="2:19" s="23" customFormat="1" ht="31.5" x14ac:dyDescent="0.3">
      <c r="B150" s="215"/>
      <c r="C150" s="208"/>
      <c r="D150" s="47" t="s">
        <v>10</v>
      </c>
      <c r="E150" s="110" t="s">
        <v>378</v>
      </c>
      <c r="F150" s="110" t="s">
        <v>8</v>
      </c>
      <c r="G150" s="110" t="s">
        <v>197</v>
      </c>
      <c r="H150" s="110" t="s">
        <v>444</v>
      </c>
      <c r="I150" s="110" t="s">
        <v>150</v>
      </c>
      <c r="J150" s="49" t="s">
        <v>4</v>
      </c>
      <c r="K150" s="107" t="s">
        <v>3</v>
      </c>
      <c r="L150" s="45">
        <v>535.1</v>
      </c>
      <c r="M150" s="45" t="s">
        <v>445</v>
      </c>
      <c r="N150" s="45" t="s">
        <v>445</v>
      </c>
      <c r="O150" s="24">
        <f>N150/M150</f>
        <v>1</v>
      </c>
      <c r="P150" s="104"/>
      <c r="Q150" s="45" t="s">
        <v>445</v>
      </c>
      <c r="R150" s="24">
        <v>1</v>
      </c>
      <c r="S150" s="85"/>
    </row>
    <row r="151" spans="2:19" s="23" customFormat="1" ht="46.5" customHeight="1" x14ac:dyDescent="0.3">
      <c r="B151" s="196" t="s">
        <v>487</v>
      </c>
      <c r="C151" s="207" t="s">
        <v>446</v>
      </c>
      <c r="D151" s="110" t="s">
        <v>13</v>
      </c>
      <c r="E151" s="196" t="s">
        <v>447</v>
      </c>
      <c r="F151" s="199"/>
      <c r="G151" s="199"/>
      <c r="H151" s="199"/>
      <c r="I151" s="199"/>
      <c r="J151" s="49" t="s">
        <v>448</v>
      </c>
      <c r="K151" s="110" t="s">
        <v>402</v>
      </c>
      <c r="L151" s="45">
        <v>12</v>
      </c>
      <c r="M151" s="45" t="s">
        <v>100</v>
      </c>
      <c r="N151" s="104" t="s">
        <v>0</v>
      </c>
      <c r="O151" s="104" t="s">
        <v>0</v>
      </c>
      <c r="P151" s="104"/>
      <c r="Q151" s="45" t="s">
        <v>100</v>
      </c>
      <c r="R151" s="24">
        <v>1</v>
      </c>
      <c r="S151" s="85"/>
    </row>
    <row r="152" spans="2:19" s="23" customFormat="1" ht="31.5" x14ac:dyDescent="0.3">
      <c r="B152" s="206"/>
      <c r="C152" s="208"/>
      <c r="D152" s="47" t="s">
        <v>10</v>
      </c>
      <c r="E152" s="110" t="s">
        <v>378</v>
      </c>
      <c r="F152" s="110" t="s">
        <v>449</v>
      </c>
      <c r="G152" s="110" t="s">
        <v>221</v>
      </c>
      <c r="H152" s="110" t="s">
        <v>450</v>
      </c>
      <c r="I152" s="110" t="s">
        <v>5</v>
      </c>
      <c r="J152" s="49" t="s">
        <v>4</v>
      </c>
      <c r="K152" s="107" t="s">
        <v>3</v>
      </c>
      <c r="L152" s="45" t="s">
        <v>451</v>
      </c>
      <c r="M152" s="45" t="s">
        <v>451</v>
      </c>
      <c r="N152" s="45" t="s">
        <v>451</v>
      </c>
      <c r="O152" s="24">
        <f>N152/M152</f>
        <v>1</v>
      </c>
      <c r="P152" s="104"/>
      <c r="Q152" s="45" t="s">
        <v>451</v>
      </c>
      <c r="R152" s="24">
        <v>1</v>
      </c>
      <c r="S152" s="85"/>
    </row>
    <row r="153" spans="2:19" s="23" customFormat="1" ht="47.25" x14ac:dyDescent="0.3">
      <c r="B153" s="209" t="s">
        <v>488</v>
      </c>
      <c r="C153" s="197" t="s">
        <v>452</v>
      </c>
      <c r="D153" s="110" t="s">
        <v>13</v>
      </c>
      <c r="E153" s="196" t="s">
        <v>453</v>
      </c>
      <c r="F153" s="199"/>
      <c r="G153" s="199"/>
      <c r="H153" s="199"/>
      <c r="I153" s="199"/>
      <c r="J153" s="49" t="s">
        <v>454</v>
      </c>
      <c r="K153" s="107" t="s">
        <v>646</v>
      </c>
      <c r="L153" s="45">
        <v>118</v>
      </c>
      <c r="M153" s="45" t="s">
        <v>455</v>
      </c>
      <c r="N153" s="104" t="s">
        <v>0</v>
      </c>
      <c r="O153" s="104" t="s">
        <v>0</v>
      </c>
      <c r="P153" s="45"/>
      <c r="Q153" s="45" t="s">
        <v>455</v>
      </c>
      <c r="R153" s="24">
        <v>1</v>
      </c>
      <c r="S153" s="48"/>
    </row>
    <row r="154" spans="2:19" s="23" customFormat="1" ht="108" customHeight="1" x14ac:dyDescent="0.3">
      <c r="B154" s="210"/>
      <c r="C154" s="197"/>
      <c r="D154" s="47" t="s">
        <v>10</v>
      </c>
      <c r="E154" s="110" t="s">
        <v>378</v>
      </c>
      <c r="F154" s="110" t="s">
        <v>131</v>
      </c>
      <c r="G154" s="110" t="s">
        <v>100</v>
      </c>
      <c r="H154" s="110" t="s">
        <v>450</v>
      </c>
      <c r="I154" s="110" t="s">
        <v>150</v>
      </c>
      <c r="J154" s="49" t="s">
        <v>4</v>
      </c>
      <c r="K154" s="107" t="s">
        <v>3</v>
      </c>
      <c r="L154" s="45">
        <v>1658.4</v>
      </c>
      <c r="M154" s="45">
        <v>1658.4</v>
      </c>
      <c r="N154" s="45">
        <v>1314</v>
      </c>
      <c r="O154" s="24">
        <f>N154/M154</f>
        <v>0.79200000000000004</v>
      </c>
      <c r="P154" s="45"/>
      <c r="Q154" s="45">
        <v>1314</v>
      </c>
      <c r="R154" s="24">
        <v>0.79200000000000004</v>
      </c>
      <c r="S154" s="48" t="s">
        <v>647</v>
      </c>
    </row>
    <row r="155" spans="2:19" s="23" customFormat="1" x14ac:dyDescent="0.3">
      <c r="B155" s="77"/>
      <c r="C155" s="51" t="s">
        <v>1</v>
      </c>
      <c r="D155" s="79"/>
      <c r="E155" s="79"/>
      <c r="F155" s="79"/>
      <c r="G155" s="79"/>
      <c r="H155" s="79"/>
      <c r="I155" s="79"/>
      <c r="J155" s="80"/>
      <c r="K155" s="81"/>
      <c r="L155" s="20">
        <f>L154+L152+L150+L148+L146+L144+L142+L140+L138+L136+L134+L132+L130+L128+L126+L124</f>
        <v>152214.6</v>
      </c>
      <c r="M155" s="20">
        <f t="shared" ref="M155:Q155" si="30">M154+M152+M150+M148+M146+M144+M142+M140+M138+M136+M134+M132+M130+M128+M126+M124</f>
        <v>190089.3</v>
      </c>
      <c r="N155" s="20">
        <f t="shared" si="30"/>
        <v>189744.9</v>
      </c>
      <c r="O155" s="24">
        <f t="shared" ref="O155:O156" si="31">N155/M155</f>
        <v>0.998</v>
      </c>
      <c r="P155" s="20"/>
      <c r="Q155" s="20">
        <f t="shared" si="30"/>
        <v>189745</v>
      </c>
      <c r="R155" s="83"/>
      <c r="S155" s="85"/>
    </row>
    <row r="156" spans="2:19" s="23" customFormat="1" x14ac:dyDescent="0.3">
      <c r="B156" s="77"/>
      <c r="C156" s="78" t="s">
        <v>2</v>
      </c>
      <c r="D156" s="79"/>
      <c r="E156" s="79"/>
      <c r="F156" s="79"/>
      <c r="G156" s="79"/>
      <c r="H156" s="79"/>
      <c r="I156" s="79"/>
      <c r="J156" s="80"/>
      <c r="K156" s="81"/>
      <c r="L156" s="90">
        <f>L155</f>
        <v>152214.6</v>
      </c>
      <c r="M156" s="90">
        <f t="shared" ref="M156:Q156" si="32">M155</f>
        <v>190089.3</v>
      </c>
      <c r="N156" s="90">
        <f t="shared" si="32"/>
        <v>189744.9</v>
      </c>
      <c r="O156" s="24">
        <f t="shared" si="31"/>
        <v>0.998</v>
      </c>
      <c r="P156" s="90"/>
      <c r="Q156" s="90">
        <f t="shared" si="32"/>
        <v>189745</v>
      </c>
      <c r="R156" s="83"/>
      <c r="S156" s="85"/>
    </row>
    <row r="157" spans="2:19" ht="18.75" customHeight="1" x14ac:dyDescent="0.3">
      <c r="B157" s="189">
        <v>7</v>
      </c>
      <c r="C157" s="242" t="s">
        <v>285</v>
      </c>
      <c r="D157" s="243"/>
      <c r="E157" s="243"/>
      <c r="F157" s="243"/>
      <c r="G157" s="243"/>
      <c r="H157" s="243"/>
      <c r="I157" s="243"/>
      <c r="J157" s="243"/>
      <c r="K157" s="243"/>
      <c r="L157" s="91"/>
      <c r="M157" s="91"/>
      <c r="N157" s="91"/>
      <c r="O157" s="91"/>
      <c r="P157" s="91"/>
      <c r="Q157" s="91"/>
      <c r="R157" s="91"/>
      <c r="S157" s="15"/>
    </row>
    <row r="158" spans="2:19" ht="34.5" customHeight="1" x14ac:dyDescent="0.3">
      <c r="B158" s="209" t="s">
        <v>491</v>
      </c>
      <c r="C158" s="220" t="s">
        <v>306</v>
      </c>
      <c r="D158" s="110" t="s">
        <v>13</v>
      </c>
      <c r="E158" s="199" t="s">
        <v>214</v>
      </c>
      <c r="F158" s="199"/>
      <c r="G158" s="199"/>
      <c r="H158" s="199"/>
      <c r="I158" s="199"/>
      <c r="J158" s="43" t="s">
        <v>307</v>
      </c>
      <c r="K158" s="107" t="s">
        <v>146</v>
      </c>
      <c r="L158" s="44">
        <v>600</v>
      </c>
      <c r="M158" s="44">
        <v>600</v>
      </c>
      <c r="N158" s="45" t="s">
        <v>0</v>
      </c>
      <c r="O158" s="44" t="s">
        <v>0</v>
      </c>
      <c r="P158" s="44"/>
      <c r="Q158" s="44">
        <v>654</v>
      </c>
      <c r="R158" s="24">
        <f>Q158/M158</f>
        <v>1.0900000000000001</v>
      </c>
      <c r="S158" s="43"/>
    </row>
    <row r="159" spans="2:19" ht="46.5" customHeight="1" x14ac:dyDescent="0.3">
      <c r="B159" s="209"/>
      <c r="C159" s="220"/>
      <c r="D159" s="47" t="s">
        <v>10</v>
      </c>
      <c r="E159" s="110" t="s">
        <v>286</v>
      </c>
      <c r="F159" s="110" t="s">
        <v>197</v>
      </c>
      <c r="G159" s="110" t="s">
        <v>8</v>
      </c>
      <c r="H159" s="110" t="s">
        <v>216</v>
      </c>
      <c r="I159" s="110" t="s">
        <v>5</v>
      </c>
      <c r="J159" s="49" t="s">
        <v>4</v>
      </c>
      <c r="K159" s="107" t="s">
        <v>3</v>
      </c>
      <c r="L159" s="45">
        <f>42133-400</f>
        <v>41733</v>
      </c>
      <c r="M159" s="45">
        <v>48593.7</v>
      </c>
      <c r="N159" s="45">
        <f>M159</f>
        <v>48593.7</v>
      </c>
      <c r="O159" s="24">
        <v>1</v>
      </c>
      <c r="P159" s="45"/>
      <c r="Q159" s="45">
        <v>49310.6</v>
      </c>
      <c r="R159" s="24">
        <f t="shared" ref="R159:R161" si="33">Q159/M159</f>
        <v>1.0149999999999999</v>
      </c>
      <c r="S159" s="43"/>
    </row>
    <row r="160" spans="2:19" ht="79.5" customHeight="1" x14ac:dyDescent="0.3">
      <c r="B160" s="209" t="s">
        <v>492</v>
      </c>
      <c r="C160" s="197" t="s">
        <v>311</v>
      </c>
      <c r="D160" s="110" t="s">
        <v>13</v>
      </c>
      <c r="E160" s="199" t="s">
        <v>332</v>
      </c>
      <c r="F160" s="199"/>
      <c r="G160" s="199"/>
      <c r="H160" s="199"/>
      <c r="I160" s="199"/>
      <c r="J160" s="43" t="s">
        <v>220</v>
      </c>
      <c r="K160" s="107" t="s">
        <v>200</v>
      </c>
      <c r="L160" s="44">
        <v>81000</v>
      </c>
      <c r="M160" s="44">
        <v>81000</v>
      </c>
      <c r="N160" s="45" t="s">
        <v>29</v>
      </c>
      <c r="O160" s="45" t="s">
        <v>0</v>
      </c>
      <c r="P160" s="44"/>
      <c r="Q160" s="44">
        <v>104900</v>
      </c>
      <c r="R160" s="24">
        <f t="shared" si="33"/>
        <v>1.2949999999999999</v>
      </c>
      <c r="S160" s="43" t="s">
        <v>648</v>
      </c>
    </row>
    <row r="161" spans="2:19" ht="41.25" customHeight="1" x14ac:dyDescent="0.3">
      <c r="B161" s="209"/>
      <c r="C161" s="197"/>
      <c r="D161" s="110" t="s">
        <v>10</v>
      </c>
      <c r="E161" s="87" t="str">
        <f>E159</f>
        <v>901</v>
      </c>
      <c r="F161" s="87" t="str">
        <f t="shared" ref="F161:I161" si="34">F159</f>
        <v>07</v>
      </c>
      <c r="G161" s="87" t="str">
        <f t="shared" si="34"/>
        <v>04</v>
      </c>
      <c r="H161" s="87" t="str">
        <f t="shared" si="34"/>
        <v>0730181001</v>
      </c>
      <c r="I161" s="87" t="str">
        <f t="shared" si="34"/>
        <v>611</v>
      </c>
      <c r="J161" s="43" t="s">
        <v>4</v>
      </c>
      <c r="K161" s="107" t="s">
        <v>3</v>
      </c>
      <c r="L161" s="45">
        <v>2300</v>
      </c>
      <c r="M161" s="45">
        <v>2300</v>
      </c>
      <c r="N161" s="45">
        <f>M161</f>
        <v>2300</v>
      </c>
      <c r="O161" s="24">
        <v>1</v>
      </c>
      <c r="P161" s="86"/>
      <c r="Q161" s="45">
        <v>2400</v>
      </c>
      <c r="R161" s="24">
        <f t="shared" si="33"/>
        <v>1.0429999999999999</v>
      </c>
      <c r="S161" s="86"/>
    </row>
    <row r="162" spans="2:19" ht="22.5" customHeight="1" x14ac:dyDescent="0.3">
      <c r="B162" s="109"/>
      <c r="C162" s="51" t="s">
        <v>1</v>
      </c>
      <c r="D162" s="110"/>
      <c r="E162" s="87"/>
      <c r="F162" s="87"/>
      <c r="G162" s="87"/>
      <c r="H162" s="87"/>
      <c r="I162" s="87"/>
      <c r="J162" s="43"/>
      <c r="K162" s="107"/>
      <c r="L162" s="45">
        <f>L161+L159</f>
        <v>44033</v>
      </c>
      <c r="M162" s="45">
        <f t="shared" ref="M162:Q162" si="35">M161+M159</f>
        <v>50893.7</v>
      </c>
      <c r="N162" s="45">
        <f t="shared" si="35"/>
        <v>50893.7</v>
      </c>
      <c r="O162" s="24">
        <v>1</v>
      </c>
      <c r="P162" s="45"/>
      <c r="Q162" s="45">
        <f t="shared" si="35"/>
        <v>51710.6</v>
      </c>
      <c r="R162" s="24"/>
      <c r="S162" s="86"/>
    </row>
    <row r="163" spans="2:19" ht="33" customHeight="1" x14ac:dyDescent="0.3">
      <c r="B163" s="209" t="s">
        <v>493</v>
      </c>
      <c r="C163" s="197" t="s">
        <v>306</v>
      </c>
      <c r="D163" s="110" t="s">
        <v>13</v>
      </c>
      <c r="E163" s="199" t="s">
        <v>214</v>
      </c>
      <c r="F163" s="199"/>
      <c r="G163" s="199"/>
      <c r="H163" s="199"/>
      <c r="I163" s="199"/>
      <c r="J163" s="49" t="s">
        <v>307</v>
      </c>
      <c r="K163" s="107" t="s">
        <v>146</v>
      </c>
      <c r="L163" s="50">
        <v>138</v>
      </c>
      <c r="M163" s="50">
        <v>132</v>
      </c>
      <c r="N163" s="45" t="s">
        <v>0</v>
      </c>
      <c r="O163" s="44" t="s">
        <v>0</v>
      </c>
      <c r="P163" s="107"/>
      <c r="Q163" s="50">
        <v>127</v>
      </c>
      <c r="R163" s="24">
        <f>Q163/M163</f>
        <v>0.96199999999999997</v>
      </c>
      <c r="S163" s="86"/>
    </row>
    <row r="164" spans="2:19" ht="44.25" customHeight="1" x14ac:dyDescent="0.3">
      <c r="B164" s="209"/>
      <c r="C164" s="197"/>
      <c r="D164" s="110" t="s">
        <v>10</v>
      </c>
      <c r="E164" s="110" t="s">
        <v>290</v>
      </c>
      <c r="F164" s="110" t="s">
        <v>197</v>
      </c>
      <c r="G164" s="110" t="s">
        <v>8</v>
      </c>
      <c r="H164" s="110" t="s">
        <v>216</v>
      </c>
      <c r="I164" s="110" t="s">
        <v>5</v>
      </c>
      <c r="J164" s="49" t="s">
        <v>4</v>
      </c>
      <c r="K164" s="107" t="s">
        <v>3</v>
      </c>
      <c r="L164" s="50">
        <v>25363.1</v>
      </c>
      <c r="M164" s="50">
        <v>26369.200000000001</v>
      </c>
      <c r="N164" s="50">
        <v>26369.200000000001</v>
      </c>
      <c r="O164" s="24">
        <v>1</v>
      </c>
      <c r="P164" s="107"/>
      <c r="Q164" s="50">
        <v>26369.200000000001</v>
      </c>
      <c r="R164" s="24">
        <v>1</v>
      </c>
      <c r="S164" s="86"/>
    </row>
    <row r="165" spans="2:19" ht="18.75" customHeight="1" x14ac:dyDescent="0.3">
      <c r="B165" s="109"/>
      <c r="C165" s="51" t="s">
        <v>1</v>
      </c>
      <c r="D165" s="110"/>
      <c r="E165" s="87"/>
      <c r="F165" s="87"/>
      <c r="G165" s="87"/>
      <c r="H165" s="87"/>
      <c r="I165" s="87"/>
      <c r="J165" s="43"/>
      <c r="K165" s="107"/>
      <c r="L165" s="45">
        <f>L164</f>
        <v>25363.1</v>
      </c>
      <c r="M165" s="45">
        <f t="shared" ref="M165:Q165" si="36">M164</f>
        <v>26369.200000000001</v>
      </c>
      <c r="N165" s="45">
        <f t="shared" si="36"/>
        <v>26369.200000000001</v>
      </c>
      <c r="O165" s="24">
        <v>1</v>
      </c>
      <c r="P165" s="45"/>
      <c r="Q165" s="45">
        <f t="shared" si="36"/>
        <v>26369.200000000001</v>
      </c>
      <c r="R165" s="24">
        <v>1</v>
      </c>
      <c r="S165" s="86"/>
    </row>
    <row r="166" spans="2:19" ht="31.5" x14ac:dyDescent="0.3">
      <c r="B166" s="209" t="s">
        <v>494</v>
      </c>
      <c r="C166" s="222" t="s">
        <v>198</v>
      </c>
      <c r="D166" s="110" t="s">
        <v>13</v>
      </c>
      <c r="E166" s="199" t="s">
        <v>199</v>
      </c>
      <c r="F166" s="199"/>
      <c r="G166" s="199"/>
      <c r="H166" s="199"/>
      <c r="I166" s="199"/>
      <c r="J166" s="43" t="s">
        <v>195</v>
      </c>
      <c r="K166" s="107" t="s">
        <v>200</v>
      </c>
      <c r="L166" s="44">
        <v>655</v>
      </c>
      <c r="M166" s="44">
        <v>655</v>
      </c>
      <c r="N166" s="45" t="s">
        <v>29</v>
      </c>
      <c r="O166" s="44" t="s">
        <v>0</v>
      </c>
      <c r="P166" s="44"/>
      <c r="Q166" s="44">
        <v>651</v>
      </c>
      <c r="R166" s="24">
        <f t="shared" ref="R166:R231" si="37">Q166/M166</f>
        <v>0.99399999999999999</v>
      </c>
      <c r="S166" s="15"/>
    </row>
    <row r="167" spans="2:19" ht="31.5" x14ac:dyDescent="0.3">
      <c r="B167" s="209"/>
      <c r="C167" s="222"/>
      <c r="D167" s="110" t="s">
        <v>10</v>
      </c>
      <c r="E167" s="87">
        <v>903</v>
      </c>
      <c r="F167" s="110" t="s">
        <v>197</v>
      </c>
      <c r="G167" s="110" t="s">
        <v>149</v>
      </c>
      <c r="H167" s="110" t="s">
        <v>207</v>
      </c>
      <c r="I167" s="87">
        <v>611</v>
      </c>
      <c r="J167" s="43" t="s">
        <v>4</v>
      </c>
      <c r="K167" s="107" t="s">
        <v>3</v>
      </c>
      <c r="L167" s="45">
        <v>12811.5</v>
      </c>
      <c r="M167" s="45">
        <v>19937.7</v>
      </c>
      <c r="N167" s="45">
        <f>20084.7-147</f>
        <v>19937.7</v>
      </c>
      <c r="O167" s="46">
        <f t="shared" ref="O167:O180" si="38">N167/M167</f>
        <v>1</v>
      </c>
      <c r="P167" s="45"/>
      <c r="Q167" s="45">
        <f>20084.7-147</f>
        <v>19937.7</v>
      </c>
      <c r="R167" s="24">
        <f t="shared" si="37"/>
        <v>1</v>
      </c>
      <c r="S167" s="15"/>
    </row>
    <row r="168" spans="2:19" ht="31.5" x14ac:dyDescent="0.3">
      <c r="B168" s="209" t="s">
        <v>495</v>
      </c>
      <c r="C168" s="214" t="s">
        <v>208</v>
      </c>
      <c r="D168" s="110" t="s">
        <v>13</v>
      </c>
      <c r="E168" s="196" t="s">
        <v>209</v>
      </c>
      <c r="F168" s="196"/>
      <c r="G168" s="196"/>
      <c r="H168" s="196"/>
      <c r="I168" s="196"/>
      <c r="J168" s="49" t="s">
        <v>195</v>
      </c>
      <c r="K168" s="107" t="s">
        <v>146</v>
      </c>
      <c r="L168" s="114">
        <v>190</v>
      </c>
      <c r="M168" s="114">
        <v>190</v>
      </c>
      <c r="N168" s="45" t="s">
        <v>0</v>
      </c>
      <c r="O168" s="44" t="s">
        <v>0</v>
      </c>
      <c r="P168" s="107"/>
      <c r="Q168" s="114">
        <v>182</v>
      </c>
      <c r="R168" s="24">
        <f t="shared" si="37"/>
        <v>0.95799999999999996</v>
      </c>
      <c r="S168" s="15"/>
    </row>
    <row r="169" spans="2:19" ht="30" customHeight="1" x14ac:dyDescent="0.3">
      <c r="B169" s="209"/>
      <c r="C169" s="214"/>
      <c r="D169" s="110" t="s">
        <v>10</v>
      </c>
      <c r="E169" s="52">
        <v>903</v>
      </c>
      <c r="F169" s="110" t="s">
        <v>197</v>
      </c>
      <c r="G169" s="110" t="s">
        <v>149</v>
      </c>
      <c r="H169" s="110" t="s">
        <v>207</v>
      </c>
      <c r="I169" s="52">
        <v>611</v>
      </c>
      <c r="J169" s="49" t="s">
        <v>4</v>
      </c>
      <c r="K169" s="107" t="s">
        <v>3</v>
      </c>
      <c r="L169" s="114">
        <v>580.72799999999995</v>
      </c>
      <c r="M169" s="114">
        <v>668.1</v>
      </c>
      <c r="N169" s="114">
        <v>668.1</v>
      </c>
      <c r="O169" s="46">
        <f t="shared" si="38"/>
        <v>1</v>
      </c>
      <c r="P169" s="107"/>
      <c r="Q169" s="114">
        <v>668.1</v>
      </c>
      <c r="R169" s="24">
        <f t="shared" si="37"/>
        <v>1</v>
      </c>
      <c r="S169" s="15"/>
    </row>
    <row r="170" spans="2:19" ht="31.5" x14ac:dyDescent="0.3">
      <c r="B170" s="209" t="s">
        <v>496</v>
      </c>
      <c r="C170" s="214" t="s">
        <v>210</v>
      </c>
      <c r="D170" s="110" t="s">
        <v>13</v>
      </c>
      <c r="E170" s="196" t="s">
        <v>211</v>
      </c>
      <c r="F170" s="196"/>
      <c r="G170" s="196"/>
      <c r="H170" s="196"/>
      <c r="I170" s="196"/>
      <c r="J170" s="49" t="s">
        <v>195</v>
      </c>
      <c r="K170" s="107" t="s">
        <v>146</v>
      </c>
      <c r="L170" s="114">
        <v>510</v>
      </c>
      <c r="M170" s="114">
        <v>510</v>
      </c>
      <c r="N170" s="45" t="s">
        <v>0</v>
      </c>
      <c r="O170" s="44" t="s">
        <v>0</v>
      </c>
      <c r="P170" s="107"/>
      <c r="Q170" s="114">
        <v>539</v>
      </c>
      <c r="R170" s="24">
        <f t="shared" si="37"/>
        <v>1.0569999999999999</v>
      </c>
      <c r="S170" s="15"/>
    </row>
    <row r="171" spans="2:19" ht="33" customHeight="1" x14ac:dyDescent="0.3">
      <c r="B171" s="209"/>
      <c r="C171" s="214"/>
      <c r="D171" s="110" t="s">
        <v>10</v>
      </c>
      <c r="E171" s="52">
        <v>903</v>
      </c>
      <c r="F171" s="110" t="s">
        <v>197</v>
      </c>
      <c r="G171" s="110" t="s">
        <v>149</v>
      </c>
      <c r="H171" s="110" t="s">
        <v>207</v>
      </c>
      <c r="I171" s="52">
        <v>611</v>
      </c>
      <c r="J171" s="49" t="s">
        <v>4</v>
      </c>
      <c r="K171" s="107" t="s">
        <v>3</v>
      </c>
      <c r="L171" s="114">
        <v>4408.09</v>
      </c>
      <c r="M171" s="114">
        <v>4743.3</v>
      </c>
      <c r="N171" s="114">
        <v>4743.3</v>
      </c>
      <c r="O171" s="46">
        <f t="shared" si="38"/>
        <v>1</v>
      </c>
      <c r="P171" s="107"/>
      <c r="Q171" s="114">
        <v>4743.3</v>
      </c>
      <c r="R171" s="24">
        <f t="shared" si="37"/>
        <v>1</v>
      </c>
      <c r="S171" s="15"/>
    </row>
    <row r="172" spans="2:19" ht="31.5" x14ac:dyDescent="0.3">
      <c r="B172" s="209" t="s">
        <v>497</v>
      </c>
      <c r="C172" s="222" t="s">
        <v>202</v>
      </c>
      <c r="D172" s="110" t="s">
        <v>13</v>
      </c>
      <c r="E172" s="196" t="s">
        <v>203</v>
      </c>
      <c r="F172" s="196"/>
      <c r="G172" s="196"/>
      <c r="H172" s="196"/>
      <c r="I172" s="196"/>
      <c r="J172" s="49" t="s">
        <v>195</v>
      </c>
      <c r="K172" s="107" t="s">
        <v>146</v>
      </c>
      <c r="L172" s="114">
        <v>340</v>
      </c>
      <c r="M172" s="114">
        <v>340</v>
      </c>
      <c r="N172" s="45" t="s">
        <v>0</v>
      </c>
      <c r="O172" s="44" t="s">
        <v>0</v>
      </c>
      <c r="P172" s="107"/>
      <c r="Q172" s="45">
        <f>319-9</f>
        <v>310</v>
      </c>
      <c r="R172" s="24">
        <f t="shared" si="37"/>
        <v>0.91200000000000003</v>
      </c>
      <c r="S172" s="15"/>
    </row>
    <row r="173" spans="2:19" ht="31.5" x14ac:dyDescent="0.3">
      <c r="B173" s="209"/>
      <c r="C173" s="222"/>
      <c r="D173" s="110" t="s">
        <v>10</v>
      </c>
      <c r="E173" s="52">
        <v>903</v>
      </c>
      <c r="F173" s="110" t="s">
        <v>197</v>
      </c>
      <c r="G173" s="110" t="s">
        <v>149</v>
      </c>
      <c r="H173" s="110" t="s">
        <v>207</v>
      </c>
      <c r="I173" s="52">
        <v>611</v>
      </c>
      <c r="J173" s="49" t="s">
        <v>4</v>
      </c>
      <c r="K173" s="107" t="s">
        <v>3</v>
      </c>
      <c r="L173" s="94">
        <v>8721.1</v>
      </c>
      <c r="M173" s="94">
        <v>11370.94</v>
      </c>
      <c r="N173" s="94">
        <f>(M173)-123.2</f>
        <v>11247.74</v>
      </c>
      <c r="O173" s="46">
        <f t="shared" si="38"/>
        <v>0.99</v>
      </c>
      <c r="P173" s="107"/>
      <c r="Q173" s="94">
        <f>(N173)-123.2</f>
        <v>11124.54</v>
      </c>
      <c r="R173" s="24">
        <f t="shared" si="37"/>
        <v>0.97799999999999998</v>
      </c>
      <c r="S173" s="15"/>
    </row>
    <row r="174" spans="2:19" ht="31.5" x14ac:dyDescent="0.3">
      <c r="B174" s="209" t="s">
        <v>498</v>
      </c>
      <c r="C174" s="214" t="s">
        <v>208</v>
      </c>
      <c r="D174" s="110" t="s">
        <v>13</v>
      </c>
      <c r="E174" s="196" t="s">
        <v>212</v>
      </c>
      <c r="F174" s="196"/>
      <c r="G174" s="196"/>
      <c r="H174" s="196"/>
      <c r="I174" s="196"/>
      <c r="J174" s="49" t="s">
        <v>195</v>
      </c>
      <c r="K174" s="107" t="s">
        <v>146</v>
      </c>
      <c r="L174" s="114">
        <v>67</v>
      </c>
      <c r="M174" s="114">
        <v>67</v>
      </c>
      <c r="N174" s="45" t="s">
        <v>0</v>
      </c>
      <c r="O174" s="44" t="s">
        <v>0</v>
      </c>
      <c r="P174" s="107"/>
      <c r="Q174" s="114">
        <v>64</v>
      </c>
      <c r="R174" s="24">
        <f t="shared" si="37"/>
        <v>0.95499999999999996</v>
      </c>
      <c r="S174" s="15"/>
    </row>
    <row r="175" spans="2:19" ht="33" customHeight="1" x14ac:dyDescent="0.3">
      <c r="B175" s="209"/>
      <c r="C175" s="214"/>
      <c r="D175" s="110" t="s">
        <v>10</v>
      </c>
      <c r="E175" s="52">
        <v>903</v>
      </c>
      <c r="F175" s="110" t="s">
        <v>197</v>
      </c>
      <c r="G175" s="110" t="s">
        <v>149</v>
      </c>
      <c r="H175" s="110" t="s">
        <v>207</v>
      </c>
      <c r="I175" s="52">
        <v>611</v>
      </c>
      <c r="J175" s="49" t="s">
        <v>4</v>
      </c>
      <c r="K175" s="107" t="s">
        <v>3</v>
      </c>
      <c r="L175" s="114">
        <v>128.04499999999999</v>
      </c>
      <c r="M175" s="114">
        <v>151.1</v>
      </c>
      <c r="N175" s="114">
        <v>151.1</v>
      </c>
      <c r="O175" s="46">
        <f t="shared" si="38"/>
        <v>1</v>
      </c>
      <c r="P175" s="107"/>
      <c r="Q175" s="114">
        <v>151.1</v>
      </c>
      <c r="R175" s="24">
        <f t="shared" si="37"/>
        <v>1</v>
      </c>
      <c r="S175" s="15"/>
    </row>
    <row r="176" spans="2:19" ht="31.5" x14ac:dyDescent="0.3">
      <c r="B176" s="209" t="s">
        <v>499</v>
      </c>
      <c r="C176" s="214" t="s">
        <v>210</v>
      </c>
      <c r="D176" s="110" t="s">
        <v>13</v>
      </c>
      <c r="E176" s="196" t="s">
        <v>213</v>
      </c>
      <c r="F176" s="196"/>
      <c r="G176" s="196"/>
      <c r="H176" s="196"/>
      <c r="I176" s="196"/>
      <c r="J176" s="49" t="s">
        <v>195</v>
      </c>
      <c r="K176" s="107" t="s">
        <v>146</v>
      </c>
      <c r="L176" s="114">
        <v>230</v>
      </c>
      <c r="M176" s="114">
        <v>230</v>
      </c>
      <c r="N176" s="45" t="s">
        <v>0</v>
      </c>
      <c r="O176" s="44" t="s">
        <v>0</v>
      </c>
      <c r="P176" s="107"/>
      <c r="Q176" s="114">
        <v>248</v>
      </c>
      <c r="R176" s="24">
        <f t="shared" si="37"/>
        <v>1.0780000000000001</v>
      </c>
      <c r="S176" s="15"/>
    </row>
    <row r="177" spans="2:19" ht="31.5" x14ac:dyDescent="0.3">
      <c r="B177" s="209"/>
      <c r="C177" s="214"/>
      <c r="D177" s="110" t="s">
        <v>10</v>
      </c>
      <c r="E177" s="52">
        <v>903</v>
      </c>
      <c r="F177" s="110" t="s">
        <v>197</v>
      </c>
      <c r="G177" s="110" t="s">
        <v>149</v>
      </c>
      <c r="H177" s="110" t="s">
        <v>207</v>
      </c>
      <c r="I177" s="52">
        <v>611</v>
      </c>
      <c r="J177" s="49" t="s">
        <v>4</v>
      </c>
      <c r="K177" s="107" t="s">
        <v>3</v>
      </c>
      <c r="L177" s="114">
        <v>449.89299999999997</v>
      </c>
      <c r="M177" s="114">
        <v>501.6</v>
      </c>
      <c r="N177" s="114">
        <v>501.6</v>
      </c>
      <c r="O177" s="46">
        <f t="shared" si="38"/>
        <v>1</v>
      </c>
      <c r="P177" s="107"/>
      <c r="Q177" s="114">
        <v>501.6</v>
      </c>
      <c r="R177" s="24">
        <f t="shared" si="37"/>
        <v>1</v>
      </c>
      <c r="S177" s="15"/>
    </row>
    <row r="178" spans="2:19" ht="39.75" customHeight="1" x14ac:dyDescent="0.3">
      <c r="B178" s="209" t="s">
        <v>500</v>
      </c>
      <c r="C178" s="197" t="s">
        <v>489</v>
      </c>
      <c r="D178" s="110" t="s">
        <v>13</v>
      </c>
      <c r="E178" s="196" t="s">
        <v>214</v>
      </c>
      <c r="F178" s="196"/>
      <c r="G178" s="196"/>
      <c r="H178" s="196"/>
      <c r="I178" s="196"/>
      <c r="J178" s="49" t="s">
        <v>215</v>
      </c>
      <c r="K178" s="107" t="s">
        <v>146</v>
      </c>
      <c r="L178" s="114">
        <v>2736</v>
      </c>
      <c r="M178" s="114">
        <v>2736</v>
      </c>
      <c r="N178" s="45" t="s">
        <v>0</v>
      </c>
      <c r="O178" s="44" t="s">
        <v>0</v>
      </c>
      <c r="P178" s="107"/>
      <c r="Q178" s="114">
        <v>2782</v>
      </c>
      <c r="R178" s="24">
        <f t="shared" si="37"/>
        <v>1.0169999999999999</v>
      </c>
      <c r="S178" s="15"/>
    </row>
    <row r="179" spans="2:19" ht="33.75" customHeight="1" x14ac:dyDescent="0.3">
      <c r="B179" s="209"/>
      <c r="C179" s="197"/>
      <c r="D179" s="110" t="s">
        <v>10</v>
      </c>
      <c r="E179" s="52">
        <v>903</v>
      </c>
      <c r="F179" s="110" t="s">
        <v>197</v>
      </c>
      <c r="G179" s="110" t="s">
        <v>8</v>
      </c>
      <c r="H179" s="110" t="s">
        <v>216</v>
      </c>
      <c r="I179" s="52">
        <v>611</v>
      </c>
      <c r="J179" s="49" t="s">
        <v>4</v>
      </c>
      <c r="K179" s="107" t="s">
        <v>3</v>
      </c>
      <c r="L179" s="93">
        <v>78565.240000000005</v>
      </c>
      <c r="M179" s="93">
        <v>85493.4</v>
      </c>
      <c r="N179" s="93">
        <v>85493.4</v>
      </c>
      <c r="O179" s="46">
        <v>1</v>
      </c>
      <c r="P179" s="93"/>
      <c r="Q179" s="93">
        <v>85493.4</v>
      </c>
      <c r="R179" s="24">
        <f t="shared" si="37"/>
        <v>1</v>
      </c>
      <c r="S179" s="15"/>
    </row>
    <row r="180" spans="2:19" ht="39" customHeight="1" x14ac:dyDescent="0.3">
      <c r="B180" s="209"/>
      <c r="C180" s="197"/>
      <c r="D180" s="110" t="s">
        <v>10</v>
      </c>
      <c r="E180" s="52">
        <v>903</v>
      </c>
      <c r="F180" s="110" t="s">
        <v>197</v>
      </c>
      <c r="G180" s="110" t="s">
        <v>8</v>
      </c>
      <c r="H180" s="110" t="s">
        <v>216</v>
      </c>
      <c r="I180" s="52">
        <v>621</v>
      </c>
      <c r="J180" s="49" t="s">
        <v>4</v>
      </c>
      <c r="K180" s="107" t="s">
        <v>3</v>
      </c>
      <c r="L180" s="93">
        <v>86563.8</v>
      </c>
      <c r="M180" s="93">
        <v>89833.4</v>
      </c>
      <c r="N180" s="93">
        <f>M180</f>
        <v>89833.4</v>
      </c>
      <c r="O180" s="46">
        <f t="shared" si="38"/>
        <v>1</v>
      </c>
      <c r="P180" s="93"/>
      <c r="Q180" s="93">
        <f>N180</f>
        <v>89833.4</v>
      </c>
      <c r="R180" s="24">
        <f t="shared" si="37"/>
        <v>1</v>
      </c>
      <c r="S180" s="15"/>
    </row>
    <row r="181" spans="2:19" ht="31.5" x14ac:dyDescent="0.3">
      <c r="B181" s="209" t="s">
        <v>501</v>
      </c>
      <c r="C181" s="197" t="s">
        <v>490</v>
      </c>
      <c r="D181" s="110" t="s">
        <v>13</v>
      </c>
      <c r="E181" s="196" t="s">
        <v>217</v>
      </c>
      <c r="F181" s="196"/>
      <c r="G181" s="196"/>
      <c r="H181" s="196"/>
      <c r="I181" s="196"/>
      <c r="J181" s="49" t="s">
        <v>215</v>
      </c>
      <c r="K181" s="107" t="s">
        <v>146</v>
      </c>
      <c r="L181" s="114">
        <v>1455</v>
      </c>
      <c r="M181" s="114">
        <v>1455</v>
      </c>
      <c r="N181" s="45" t="s">
        <v>0</v>
      </c>
      <c r="O181" s="44" t="s">
        <v>0</v>
      </c>
      <c r="P181" s="107"/>
      <c r="Q181" s="114">
        <v>1456</v>
      </c>
      <c r="R181" s="24">
        <f t="shared" si="37"/>
        <v>1.0009999999999999</v>
      </c>
      <c r="S181" s="15"/>
    </row>
    <row r="182" spans="2:19" ht="69" customHeight="1" x14ac:dyDescent="0.3">
      <c r="B182" s="209"/>
      <c r="C182" s="197"/>
      <c r="D182" s="110" t="s">
        <v>10</v>
      </c>
      <c r="E182" s="52">
        <v>903</v>
      </c>
      <c r="F182" s="110" t="s">
        <v>197</v>
      </c>
      <c r="G182" s="110" t="s">
        <v>8</v>
      </c>
      <c r="H182" s="110" t="s">
        <v>216</v>
      </c>
      <c r="I182" s="52">
        <v>611</v>
      </c>
      <c r="J182" s="49" t="s">
        <v>4</v>
      </c>
      <c r="K182" s="107" t="s">
        <v>3</v>
      </c>
      <c r="L182" s="65">
        <v>99707.9</v>
      </c>
      <c r="M182" s="114">
        <v>106519.4</v>
      </c>
      <c r="N182" s="114">
        <v>106519.4</v>
      </c>
      <c r="O182" s="46">
        <v>1</v>
      </c>
      <c r="P182" s="107"/>
      <c r="Q182" s="114">
        <v>106519.4</v>
      </c>
      <c r="R182" s="24">
        <f t="shared" si="37"/>
        <v>1</v>
      </c>
      <c r="S182" s="15"/>
    </row>
    <row r="183" spans="2:19" ht="31.5" x14ac:dyDescent="0.3">
      <c r="B183" s="209" t="s">
        <v>502</v>
      </c>
      <c r="C183" s="197" t="s">
        <v>204</v>
      </c>
      <c r="D183" s="110" t="s">
        <v>13</v>
      </c>
      <c r="E183" s="196" t="s">
        <v>205</v>
      </c>
      <c r="F183" s="196"/>
      <c r="G183" s="196"/>
      <c r="H183" s="196"/>
      <c r="I183" s="196"/>
      <c r="J183" s="49" t="s">
        <v>206</v>
      </c>
      <c r="K183" s="107" t="s">
        <v>200</v>
      </c>
      <c r="L183" s="114">
        <v>382160</v>
      </c>
      <c r="M183" s="114">
        <v>382160</v>
      </c>
      <c r="N183" s="45" t="s">
        <v>0</v>
      </c>
      <c r="O183" s="44" t="s">
        <v>0</v>
      </c>
      <c r="P183" s="107"/>
      <c r="Q183" s="114">
        <v>381597</v>
      </c>
      <c r="R183" s="24">
        <f t="shared" si="37"/>
        <v>0.999</v>
      </c>
      <c r="S183" s="15"/>
    </row>
    <row r="184" spans="2:19" ht="31.5" x14ac:dyDescent="0.3">
      <c r="B184" s="209"/>
      <c r="C184" s="197"/>
      <c r="D184" s="110" t="s">
        <v>10</v>
      </c>
      <c r="E184" s="52">
        <v>903</v>
      </c>
      <c r="F184" s="110" t="s">
        <v>197</v>
      </c>
      <c r="G184" s="110" t="s">
        <v>149</v>
      </c>
      <c r="H184" s="110" t="s">
        <v>207</v>
      </c>
      <c r="I184" s="52">
        <v>611</v>
      </c>
      <c r="J184" s="49" t="s">
        <v>4</v>
      </c>
      <c r="K184" s="107" t="s">
        <v>3</v>
      </c>
      <c r="L184" s="50">
        <v>3450.3</v>
      </c>
      <c r="M184" s="50">
        <v>3615</v>
      </c>
      <c r="N184" s="50">
        <v>3615</v>
      </c>
      <c r="O184" s="24">
        <v>1</v>
      </c>
      <c r="P184" s="107"/>
      <c r="Q184" s="45">
        <v>3615</v>
      </c>
      <c r="R184" s="24">
        <v>1</v>
      </c>
      <c r="S184" s="15"/>
    </row>
    <row r="185" spans="2:19" ht="31.5" x14ac:dyDescent="0.3">
      <c r="B185" s="209"/>
      <c r="C185" s="197"/>
      <c r="D185" s="110" t="s">
        <v>10</v>
      </c>
      <c r="E185" s="52">
        <v>903</v>
      </c>
      <c r="F185" s="110" t="s">
        <v>197</v>
      </c>
      <c r="G185" s="110" t="s">
        <v>149</v>
      </c>
      <c r="H185" s="110" t="s">
        <v>207</v>
      </c>
      <c r="I185" s="52">
        <v>621</v>
      </c>
      <c r="J185" s="49" t="s">
        <v>4</v>
      </c>
      <c r="K185" s="107" t="s">
        <v>3</v>
      </c>
      <c r="L185" s="50">
        <v>152234.20000000001</v>
      </c>
      <c r="M185" s="50">
        <v>165222</v>
      </c>
      <c r="N185" s="50">
        <v>165222</v>
      </c>
      <c r="O185" s="46">
        <v>1</v>
      </c>
      <c r="P185" s="107"/>
      <c r="Q185" s="45">
        <v>165222</v>
      </c>
      <c r="R185" s="24">
        <v>1</v>
      </c>
      <c r="S185" s="15"/>
    </row>
    <row r="186" spans="2:19" ht="31.5" x14ac:dyDescent="0.3">
      <c r="B186" s="209" t="s">
        <v>503</v>
      </c>
      <c r="C186" s="197" t="s">
        <v>218</v>
      </c>
      <c r="D186" s="110" t="s">
        <v>13</v>
      </c>
      <c r="E186" s="196" t="s">
        <v>219</v>
      </c>
      <c r="F186" s="196"/>
      <c r="G186" s="196"/>
      <c r="H186" s="196"/>
      <c r="I186" s="196"/>
      <c r="J186" s="49" t="s">
        <v>220</v>
      </c>
      <c r="K186" s="107" t="s">
        <v>200</v>
      </c>
      <c r="L186" s="114">
        <v>864</v>
      </c>
      <c r="M186" s="114">
        <v>864</v>
      </c>
      <c r="N186" s="45" t="s">
        <v>0</v>
      </c>
      <c r="O186" s="44" t="s">
        <v>0</v>
      </c>
      <c r="P186" s="107"/>
      <c r="Q186" s="45">
        <v>864</v>
      </c>
      <c r="R186" s="24">
        <v>1</v>
      </c>
      <c r="S186" s="15"/>
    </row>
    <row r="187" spans="2:19" ht="66.75" customHeight="1" x14ac:dyDescent="0.3">
      <c r="B187" s="209"/>
      <c r="C187" s="197"/>
      <c r="D187" s="110" t="s">
        <v>10</v>
      </c>
      <c r="E187" s="52">
        <v>903</v>
      </c>
      <c r="F187" s="110" t="s">
        <v>197</v>
      </c>
      <c r="G187" s="110" t="s">
        <v>221</v>
      </c>
      <c r="H187" s="110" t="s">
        <v>222</v>
      </c>
      <c r="I187" s="52">
        <v>621</v>
      </c>
      <c r="J187" s="49" t="s">
        <v>4</v>
      </c>
      <c r="K187" s="107" t="s">
        <v>3</v>
      </c>
      <c r="L187" s="114">
        <v>214</v>
      </c>
      <c r="M187" s="50">
        <v>237.5</v>
      </c>
      <c r="N187" s="50">
        <v>237.5</v>
      </c>
      <c r="O187" s="46">
        <v>1</v>
      </c>
      <c r="P187" s="107"/>
      <c r="Q187" s="45">
        <v>237.5</v>
      </c>
      <c r="R187" s="24">
        <v>1</v>
      </c>
      <c r="S187" s="15"/>
    </row>
    <row r="188" spans="2:19" ht="31.5" x14ac:dyDescent="0.3">
      <c r="B188" s="209" t="s">
        <v>504</v>
      </c>
      <c r="C188" s="197" t="s">
        <v>333</v>
      </c>
      <c r="D188" s="110" t="s">
        <v>13</v>
      </c>
      <c r="E188" s="221" t="s">
        <v>223</v>
      </c>
      <c r="F188" s="221"/>
      <c r="G188" s="221"/>
      <c r="H188" s="221"/>
      <c r="I188" s="221"/>
      <c r="J188" s="49" t="s">
        <v>206</v>
      </c>
      <c r="K188" s="107" t="s">
        <v>200</v>
      </c>
      <c r="L188" s="114">
        <v>11184</v>
      </c>
      <c r="M188" s="114">
        <v>11184</v>
      </c>
      <c r="N188" s="45" t="s">
        <v>0</v>
      </c>
      <c r="O188" s="44" t="s">
        <v>0</v>
      </c>
      <c r="P188" s="107"/>
      <c r="Q188" s="45">
        <v>11496</v>
      </c>
      <c r="R188" s="24">
        <v>1.028</v>
      </c>
      <c r="S188" s="15"/>
    </row>
    <row r="189" spans="2:19" ht="31.5" x14ac:dyDescent="0.3">
      <c r="B189" s="209"/>
      <c r="C189" s="197"/>
      <c r="D189" s="110" t="s">
        <v>10</v>
      </c>
      <c r="E189" s="110" t="s">
        <v>196</v>
      </c>
      <c r="F189" s="110" t="s">
        <v>197</v>
      </c>
      <c r="G189" s="110" t="s">
        <v>7</v>
      </c>
      <c r="H189" s="110" t="s">
        <v>216</v>
      </c>
      <c r="I189" s="110" t="s">
        <v>5</v>
      </c>
      <c r="J189" s="49" t="s">
        <v>4</v>
      </c>
      <c r="K189" s="107" t="s">
        <v>3</v>
      </c>
      <c r="L189" s="65">
        <v>7958.3</v>
      </c>
      <c r="M189" s="50">
        <v>8045.4</v>
      </c>
      <c r="N189" s="50">
        <v>8045.4</v>
      </c>
      <c r="O189" s="46">
        <v>1</v>
      </c>
      <c r="P189" s="107"/>
      <c r="Q189" s="45">
        <v>8045.4</v>
      </c>
      <c r="R189" s="24">
        <v>1</v>
      </c>
      <c r="S189" s="15"/>
    </row>
    <row r="190" spans="2:19" ht="45.75" customHeight="1" x14ac:dyDescent="0.3">
      <c r="B190" s="209" t="s">
        <v>505</v>
      </c>
      <c r="C190" s="197" t="s">
        <v>224</v>
      </c>
      <c r="D190" s="110" t="s">
        <v>13</v>
      </c>
      <c r="E190" s="196" t="s">
        <v>225</v>
      </c>
      <c r="F190" s="196"/>
      <c r="G190" s="196"/>
      <c r="H190" s="196"/>
      <c r="I190" s="196"/>
      <c r="J190" s="49" t="s">
        <v>206</v>
      </c>
      <c r="K190" s="107" t="s">
        <v>200</v>
      </c>
      <c r="L190" s="114">
        <v>81210</v>
      </c>
      <c r="M190" s="114">
        <v>81210</v>
      </c>
      <c r="N190" s="45" t="s">
        <v>0</v>
      </c>
      <c r="O190" s="44" t="s">
        <v>0</v>
      </c>
      <c r="P190" s="107"/>
      <c r="Q190" s="114">
        <v>74464</v>
      </c>
      <c r="R190" s="24">
        <f t="shared" si="37"/>
        <v>0.91700000000000004</v>
      </c>
      <c r="S190" s="15"/>
    </row>
    <row r="191" spans="2:19" ht="87.75" customHeight="1" x14ac:dyDescent="0.3">
      <c r="B191" s="209"/>
      <c r="C191" s="197"/>
      <c r="D191" s="110" t="s">
        <v>10</v>
      </c>
      <c r="E191" s="52">
        <v>903</v>
      </c>
      <c r="F191" s="110" t="s">
        <v>197</v>
      </c>
      <c r="G191" s="110" t="s">
        <v>8</v>
      </c>
      <c r="H191" s="110" t="s">
        <v>216</v>
      </c>
      <c r="I191" s="52">
        <v>621</v>
      </c>
      <c r="J191" s="49" t="s">
        <v>4</v>
      </c>
      <c r="K191" s="107" t="s">
        <v>3</v>
      </c>
      <c r="L191" s="65">
        <v>5690.2</v>
      </c>
      <c r="M191" s="114">
        <v>6627</v>
      </c>
      <c r="N191" s="114">
        <v>6627</v>
      </c>
      <c r="O191" s="46">
        <v>1</v>
      </c>
      <c r="P191" s="107"/>
      <c r="Q191" s="114">
        <v>6627</v>
      </c>
      <c r="R191" s="24">
        <f t="shared" si="37"/>
        <v>1</v>
      </c>
      <c r="S191" s="15"/>
    </row>
    <row r="192" spans="2:19" ht="31.5" x14ac:dyDescent="0.3">
      <c r="B192" s="209" t="s">
        <v>506</v>
      </c>
      <c r="C192" s="197" t="s">
        <v>226</v>
      </c>
      <c r="D192" s="110" t="s">
        <v>13</v>
      </c>
      <c r="E192" s="196" t="s">
        <v>227</v>
      </c>
      <c r="F192" s="196"/>
      <c r="G192" s="196"/>
      <c r="H192" s="196"/>
      <c r="I192" s="196"/>
      <c r="J192" s="49" t="s">
        <v>167</v>
      </c>
      <c r="K192" s="107" t="s">
        <v>59</v>
      </c>
      <c r="L192" s="114">
        <v>70</v>
      </c>
      <c r="M192" s="114">
        <f>L192</f>
        <v>70</v>
      </c>
      <c r="N192" s="45" t="s">
        <v>0</v>
      </c>
      <c r="O192" s="44" t="s">
        <v>0</v>
      </c>
      <c r="P192" s="107"/>
      <c r="Q192" s="45">
        <v>70</v>
      </c>
      <c r="R192" s="24">
        <f t="shared" si="37"/>
        <v>1</v>
      </c>
      <c r="S192" s="15"/>
    </row>
    <row r="193" spans="2:19" ht="31.5" x14ac:dyDescent="0.3">
      <c r="B193" s="209"/>
      <c r="C193" s="197"/>
      <c r="D193" s="110" t="s">
        <v>10</v>
      </c>
      <c r="E193" s="52">
        <v>903</v>
      </c>
      <c r="F193" s="110" t="s">
        <v>197</v>
      </c>
      <c r="G193" s="110" t="s">
        <v>221</v>
      </c>
      <c r="H193" s="110" t="s">
        <v>222</v>
      </c>
      <c r="I193" s="52">
        <v>621</v>
      </c>
      <c r="J193" s="49" t="s">
        <v>4</v>
      </c>
      <c r="K193" s="107" t="s">
        <v>3</v>
      </c>
      <c r="L193" s="50">
        <v>5434.3</v>
      </c>
      <c r="M193" s="50">
        <f t="shared" ref="M193" si="39">L193</f>
        <v>5434.3</v>
      </c>
      <c r="N193" s="50">
        <f>M193</f>
        <v>5434.3</v>
      </c>
      <c r="O193" s="46">
        <f t="shared" ref="O193" si="40">N193/M193</f>
        <v>1</v>
      </c>
      <c r="P193" s="107"/>
      <c r="Q193" s="45">
        <f>M193</f>
        <v>5434.3</v>
      </c>
      <c r="R193" s="24">
        <f t="shared" si="37"/>
        <v>1</v>
      </c>
      <c r="S193" s="15"/>
    </row>
    <row r="194" spans="2:19" ht="31.5" x14ac:dyDescent="0.3">
      <c r="B194" s="209" t="s">
        <v>507</v>
      </c>
      <c r="C194" s="197" t="s">
        <v>228</v>
      </c>
      <c r="D194" s="110" t="s">
        <v>13</v>
      </c>
      <c r="E194" s="196" t="s">
        <v>229</v>
      </c>
      <c r="F194" s="196"/>
      <c r="G194" s="196"/>
      <c r="H194" s="196"/>
      <c r="I194" s="196"/>
      <c r="J194" s="49" t="s">
        <v>230</v>
      </c>
      <c r="K194" s="107" t="s">
        <v>59</v>
      </c>
      <c r="L194" s="114">
        <v>10</v>
      </c>
      <c r="M194" s="114">
        <v>10</v>
      </c>
      <c r="N194" s="45" t="s">
        <v>0</v>
      </c>
      <c r="O194" s="44" t="s">
        <v>0</v>
      </c>
      <c r="P194" s="107"/>
      <c r="Q194" s="45">
        <v>10</v>
      </c>
      <c r="R194" s="24">
        <f t="shared" si="37"/>
        <v>1</v>
      </c>
      <c r="S194" s="15"/>
    </row>
    <row r="195" spans="2:19" ht="31.5" x14ac:dyDescent="0.3">
      <c r="B195" s="209"/>
      <c r="C195" s="197"/>
      <c r="D195" s="110" t="s">
        <v>10</v>
      </c>
      <c r="E195" s="52">
        <v>903</v>
      </c>
      <c r="F195" s="110" t="s">
        <v>197</v>
      </c>
      <c r="G195" s="110" t="s">
        <v>7</v>
      </c>
      <c r="H195" s="110" t="s">
        <v>216</v>
      </c>
      <c r="I195" s="52">
        <v>611</v>
      </c>
      <c r="J195" s="49" t="s">
        <v>4</v>
      </c>
      <c r="K195" s="107" t="s">
        <v>3</v>
      </c>
      <c r="L195" s="50">
        <v>6300.8</v>
      </c>
      <c r="M195" s="50">
        <v>6312</v>
      </c>
      <c r="N195" s="50">
        <f>M195</f>
        <v>6312</v>
      </c>
      <c r="O195" s="46">
        <f t="shared" ref="O195" si="41">N195/M195</f>
        <v>1</v>
      </c>
      <c r="P195" s="107"/>
      <c r="Q195" s="45">
        <f>M195</f>
        <v>6312</v>
      </c>
      <c r="R195" s="24">
        <f t="shared" si="37"/>
        <v>1</v>
      </c>
      <c r="S195" s="15"/>
    </row>
    <row r="196" spans="2:19" ht="95.25" customHeight="1" x14ac:dyDescent="0.3">
      <c r="B196" s="209" t="s">
        <v>508</v>
      </c>
      <c r="C196" s="197" t="s">
        <v>231</v>
      </c>
      <c r="D196" s="110" t="s">
        <v>13</v>
      </c>
      <c r="E196" s="196" t="s">
        <v>232</v>
      </c>
      <c r="F196" s="196"/>
      <c r="G196" s="196"/>
      <c r="H196" s="196"/>
      <c r="I196" s="196"/>
      <c r="J196" s="49" t="s">
        <v>167</v>
      </c>
      <c r="K196" s="107" t="s">
        <v>59</v>
      </c>
      <c r="L196" s="114">
        <v>80</v>
      </c>
      <c r="M196" s="114">
        <f>L196</f>
        <v>80</v>
      </c>
      <c r="N196" s="45" t="s">
        <v>0</v>
      </c>
      <c r="O196" s="44" t="s">
        <v>0</v>
      </c>
      <c r="P196" s="107"/>
      <c r="Q196" s="45">
        <v>80</v>
      </c>
      <c r="R196" s="24">
        <f t="shared" si="37"/>
        <v>1</v>
      </c>
      <c r="S196" s="15"/>
    </row>
    <row r="197" spans="2:19" ht="85.5" customHeight="1" x14ac:dyDescent="0.3">
      <c r="B197" s="209"/>
      <c r="C197" s="197"/>
      <c r="D197" s="110" t="s">
        <v>10</v>
      </c>
      <c r="E197" s="52">
        <v>903</v>
      </c>
      <c r="F197" s="110" t="s">
        <v>197</v>
      </c>
      <c r="G197" s="110" t="s">
        <v>197</v>
      </c>
      <c r="H197" s="110" t="s">
        <v>233</v>
      </c>
      <c r="I197" s="52">
        <v>611</v>
      </c>
      <c r="J197" s="49" t="s">
        <v>4</v>
      </c>
      <c r="K197" s="107" t="s">
        <v>3</v>
      </c>
      <c r="L197" s="50">
        <v>11444.7</v>
      </c>
      <c r="M197" s="50">
        <f>L197</f>
        <v>11444.7</v>
      </c>
      <c r="N197" s="50">
        <f>M197</f>
        <v>11444.7</v>
      </c>
      <c r="O197" s="46">
        <f t="shared" ref="O197" si="42">N197/M197</f>
        <v>1</v>
      </c>
      <c r="P197" s="107"/>
      <c r="Q197" s="45">
        <f>M197</f>
        <v>11444.7</v>
      </c>
      <c r="R197" s="24">
        <f t="shared" si="37"/>
        <v>1</v>
      </c>
      <c r="S197" s="15"/>
    </row>
    <row r="198" spans="2:19" ht="81" customHeight="1" x14ac:dyDescent="0.3">
      <c r="B198" s="209" t="s">
        <v>509</v>
      </c>
      <c r="C198" s="197" t="s">
        <v>234</v>
      </c>
      <c r="D198" s="110" t="s">
        <v>13</v>
      </c>
      <c r="E198" s="196" t="s">
        <v>235</v>
      </c>
      <c r="F198" s="196"/>
      <c r="G198" s="196"/>
      <c r="H198" s="196"/>
      <c r="I198" s="196"/>
      <c r="J198" s="49" t="s">
        <v>236</v>
      </c>
      <c r="K198" s="107" t="s">
        <v>59</v>
      </c>
      <c r="L198" s="114">
        <v>4</v>
      </c>
      <c r="M198" s="114">
        <f>L198</f>
        <v>4</v>
      </c>
      <c r="N198" s="45" t="s">
        <v>0</v>
      </c>
      <c r="O198" s="44" t="s">
        <v>0</v>
      </c>
      <c r="P198" s="107"/>
      <c r="Q198" s="45">
        <v>4</v>
      </c>
      <c r="R198" s="24">
        <f t="shared" si="37"/>
        <v>1</v>
      </c>
      <c r="S198" s="15"/>
    </row>
    <row r="199" spans="2:19" ht="31.5" x14ac:dyDescent="0.3">
      <c r="B199" s="209"/>
      <c r="C199" s="197"/>
      <c r="D199" s="110" t="s">
        <v>10</v>
      </c>
      <c r="E199" s="52">
        <v>903</v>
      </c>
      <c r="F199" s="110" t="s">
        <v>197</v>
      </c>
      <c r="G199" s="110" t="s">
        <v>237</v>
      </c>
      <c r="H199" s="110" t="s">
        <v>238</v>
      </c>
      <c r="I199" s="52">
        <v>611</v>
      </c>
      <c r="J199" s="49" t="s">
        <v>4</v>
      </c>
      <c r="K199" s="107" t="s">
        <v>3</v>
      </c>
      <c r="L199" s="50">
        <v>5300.4</v>
      </c>
      <c r="M199" s="50">
        <v>5154</v>
      </c>
      <c r="N199" s="50">
        <f>M199</f>
        <v>5154</v>
      </c>
      <c r="O199" s="46">
        <f t="shared" ref="O199" si="43">N199/M199</f>
        <v>1</v>
      </c>
      <c r="P199" s="107"/>
      <c r="Q199" s="45">
        <f>M199</f>
        <v>5154</v>
      </c>
      <c r="R199" s="24">
        <f t="shared" si="37"/>
        <v>1</v>
      </c>
      <c r="S199" s="15"/>
    </row>
    <row r="200" spans="2:19" ht="61.5" customHeight="1" x14ac:dyDescent="0.3">
      <c r="B200" s="209" t="s">
        <v>510</v>
      </c>
      <c r="C200" s="197" t="s">
        <v>239</v>
      </c>
      <c r="D200" s="110" t="s">
        <v>13</v>
      </c>
      <c r="E200" s="196" t="s">
        <v>240</v>
      </c>
      <c r="F200" s="196"/>
      <c r="G200" s="196"/>
      <c r="H200" s="196"/>
      <c r="I200" s="196"/>
      <c r="J200" s="49" t="s">
        <v>241</v>
      </c>
      <c r="K200" s="107" t="s">
        <v>59</v>
      </c>
      <c r="L200" s="114">
        <v>12178</v>
      </c>
      <c r="M200" s="114">
        <f>L200</f>
        <v>12178</v>
      </c>
      <c r="N200" s="45" t="s">
        <v>0</v>
      </c>
      <c r="O200" s="44" t="s">
        <v>0</v>
      </c>
      <c r="P200" s="107"/>
      <c r="Q200" s="45">
        <v>11982</v>
      </c>
      <c r="R200" s="24">
        <f t="shared" si="37"/>
        <v>0.98399999999999999</v>
      </c>
      <c r="S200" s="15"/>
    </row>
    <row r="201" spans="2:19" ht="51" customHeight="1" x14ac:dyDescent="0.3">
      <c r="B201" s="209"/>
      <c r="C201" s="197"/>
      <c r="D201" s="110" t="s">
        <v>10</v>
      </c>
      <c r="E201" s="52">
        <v>903</v>
      </c>
      <c r="F201" s="110" t="s">
        <v>197</v>
      </c>
      <c r="G201" s="110" t="s">
        <v>237</v>
      </c>
      <c r="H201" s="110" t="s">
        <v>238</v>
      </c>
      <c r="I201" s="52">
        <v>611</v>
      </c>
      <c r="J201" s="49" t="s">
        <v>4</v>
      </c>
      <c r="K201" s="107" t="s">
        <v>3</v>
      </c>
      <c r="L201" s="50">
        <v>11802.9</v>
      </c>
      <c r="M201" s="50">
        <v>11375</v>
      </c>
      <c r="N201" s="50">
        <f>M201</f>
        <v>11375</v>
      </c>
      <c r="O201" s="46">
        <f t="shared" ref="O201" si="44">N201/M201</f>
        <v>1</v>
      </c>
      <c r="P201" s="107"/>
      <c r="Q201" s="45">
        <f>M201</f>
        <v>11375</v>
      </c>
      <c r="R201" s="24">
        <f t="shared" si="37"/>
        <v>1</v>
      </c>
      <c r="S201" s="15"/>
    </row>
    <row r="202" spans="2:19" ht="47.25" x14ac:dyDescent="0.3">
      <c r="B202" s="209" t="s">
        <v>511</v>
      </c>
      <c r="C202" s="197" t="s">
        <v>242</v>
      </c>
      <c r="D202" s="110" t="s">
        <v>13</v>
      </c>
      <c r="E202" s="196" t="s">
        <v>243</v>
      </c>
      <c r="F202" s="196"/>
      <c r="G202" s="196"/>
      <c r="H202" s="196"/>
      <c r="I202" s="196"/>
      <c r="J202" s="49" t="s">
        <v>244</v>
      </c>
      <c r="K202" s="107" t="s">
        <v>146</v>
      </c>
      <c r="L202" s="114">
        <v>319</v>
      </c>
      <c r="M202" s="114">
        <v>319</v>
      </c>
      <c r="N202" s="45" t="s">
        <v>0</v>
      </c>
      <c r="O202" s="44" t="s">
        <v>0</v>
      </c>
      <c r="P202" s="107"/>
      <c r="Q202" s="114">
        <v>362</v>
      </c>
      <c r="R202" s="24">
        <f t="shared" si="37"/>
        <v>1.135</v>
      </c>
      <c r="S202" s="15"/>
    </row>
    <row r="203" spans="2:19" ht="31.5" x14ac:dyDescent="0.3">
      <c r="B203" s="209"/>
      <c r="C203" s="197"/>
      <c r="D203" s="110" t="s">
        <v>10</v>
      </c>
      <c r="E203" s="52">
        <v>903</v>
      </c>
      <c r="F203" s="110" t="s">
        <v>197</v>
      </c>
      <c r="G203" s="110" t="s">
        <v>8</v>
      </c>
      <c r="H203" s="110" t="s">
        <v>216</v>
      </c>
      <c r="I203" s="52">
        <v>611</v>
      </c>
      <c r="J203" s="49" t="s">
        <v>4</v>
      </c>
      <c r="K203" s="107" t="s">
        <v>3</v>
      </c>
      <c r="L203" s="114">
        <v>2401.9450000000002</v>
      </c>
      <c r="M203" s="114">
        <v>2541.1999999999998</v>
      </c>
      <c r="N203" s="114">
        <v>2541.1999999999998</v>
      </c>
      <c r="O203" s="46">
        <v>1</v>
      </c>
      <c r="P203" s="107"/>
      <c r="Q203" s="114">
        <v>2541.1999999999998</v>
      </c>
      <c r="R203" s="24">
        <f t="shared" si="37"/>
        <v>1</v>
      </c>
      <c r="S203" s="15"/>
    </row>
    <row r="204" spans="2:19" ht="47.25" x14ac:dyDescent="0.3">
      <c r="B204" s="209" t="s">
        <v>512</v>
      </c>
      <c r="C204" s="197" t="s">
        <v>245</v>
      </c>
      <c r="D204" s="110" t="s">
        <v>13</v>
      </c>
      <c r="E204" s="196" t="s">
        <v>246</v>
      </c>
      <c r="F204" s="196"/>
      <c r="G204" s="196"/>
      <c r="H204" s="196"/>
      <c r="I204" s="196"/>
      <c r="J204" s="49" t="s">
        <v>247</v>
      </c>
      <c r="K204" s="107" t="s">
        <v>59</v>
      </c>
      <c r="L204" s="114">
        <v>2</v>
      </c>
      <c r="M204" s="114">
        <f>L204</f>
        <v>2</v>
      </c>
      <c r="N204" s="45" t="s">
        <v>0</v>
      </c>
      <c r="O204" s="44" t="s">
        <v>0</v>
      </c>
      <c r="P204" s="107"/>
      <c r="Q204" s="45">
        <v>2</v>
      </c>
      <c r="R204" s="24">
        <f t="shared" si="37"/>
        <v>1</v>
      </c>
      <c r="S204" s="15"/>
    </row>
    <row r="205" spans="2:19" ht="31.5" x14ac:dyDescent="0.3">
      <c r="B205" s="209"/>
      <c r="C205" s="197"/>
      <c r="D205" s="110" t="s">
        <v>10</v>
      </c>
      <c r="E205" s="52">
        <v>903</v>
      </c>
      <c r="F205" s="110" t="s">
        <v>197</v>
      </c>
      <c r="G205" s="110" t="s">
        <v>221</v>
      </c>
      <c r="H205" s="110" t="s">
        <v>222</v>
      </c>
      <c r="I205" s="52">
        <v>621</v>
      </c>
      <c r="J205" s="49" t="s">
        <v>4</v>
      </c>
      <c r="K205" s="107" t="s">
        <v>3</v>
      </c>
      <c r="L205" s="50">
        <v>678.9</v>
      </c>
      <c r="M205" s="50">
        <f t="shared" ref="M205" si="45">L205</f>
        <v>678.9</v>
      </c>
      <c r="N205" s="50">
        <f>M205</f>
        <v>678.9</v>
      </c>
      <c r="O205" s="46">
        <f t="shared" ref="O205" si="46">N205/M205</f>
        <v>1</v>
      </c>
      <c r="P205" s="107"/>
      <c r="Q205" s="45">
        <f>M205</f>
        <v>678.9</v>
      </c>
      <c r="R205" s="24">
        <f t="shared" si="37"/>
        <v>1</v>
      </c>
      <c r="S205" s="15"/>
    </row>
    <row r="206" spans="2:19" ht="47.25" x14ac:dyDescent="0.3">
      <c r="B206" s="209" t="s">
        <v>513</v>
      </c>
      <c r="C206" s="197" t="s">
        <v>248</v>
      </c>
      <c r="D206" s="110" t="s">
        <v>13</v>
      </c>
      <c r="E206" s="196" t="s">
        <v>249</v>
      </c>
      <c r="F206" s="196"/>
      <c r="G206" s="196"/>
      <c r="H206" s="196"/>
      <c r="I206" s="196"/>
      <c r="J206" s="49" t="s">
        <v>247</v>
      </c>
      <c r="K206" s="107" t="s">
        <v>250</v>
      </c>
      <c r="L206" s="114">
        <v>4</v>
      </c>
      <c r="M206" s="114">
        <f>L206</f>
        <v>4</v>
      </c>
      <c r="N206" s="45" t="s">
        <v>0</v>
      </c>
      <c r="O206" s="44" t="s">
        <v>0</v>
      </c>
      <c r="P206" s="107"/>
      <c r="Q206" s="45">
        <v>3</v>
      </c>
      <c r="R206" s="24">
        <f t="shared" si="37"/>
        <v>0.75</v>
      </c>
      <c r="S206" s="15"/>
    </row>
    <row r="207" spans="2:19" ht="31.5" x14ac:dyDescent="0.3">
      <c r="B207" s="209"/>
      <c r="C207" s="197"/>
      <c r="D207" s="110" t="s">
        <v>10</v>
      </c>
      <c r="E207" s="52">
        <v>903</v>
      </c>
      <c r="F207" s="110" t="s">
        <v>197</v>
      </c>
      <c r="G207" s="110" t="s">
        <v>221</v>
      </c>
      <c r="H207" s="110" t="s">
        <v>222</v>
      </c>
      <c r="I207" s="52">
        <v>621</v>
      </c>
      <c r="J207" s="49" t="s">
        <v>4</v>
      </c>
      <c r="K207" s="107" t="s">
        <v>3</v>
      </c>
      <c r="L207" s="50">
        <v>1455</v>
      </c>
      <c r="M207" s="50">
        <v>1679.2</v>
      </c>
      <c r="N207" s="50">
        <f>M207</f>
        <v>1679.2</v>
      </c>
      <c r="O207" s="46">
        <f t="shared" ref="O207" si="47">N207/M207</f>
        <v>1</v>
      </c>
      <c r="P207" s="107"/>
      <c r="Q207" s="45">
        <f>M207</f>
        <v>1679.2</v>
      </c>
      <c r="R207" s="24">
        <f t="shared" si="37"/>
        <v>1</v>
      </c>
      <c r="S207" s="15"/>
    </row>
    <row r="208" spans="2:19" ht="117.75" customHeight="1" x14ac:dyDescent="0.3">
      <c r="B208" s="209" t="s">
        <v>514</v>
      </c>
      <c r="C208" s="197" t="s">
        <v>251</v>
      </c>
      <c r="D208" s="110" t="s">
        <v>13</v>
      </c>
      <c r="E208" s="196" t="s">
        <v>252</v>
      </c>
      <c r="F208" s="196"/>
      <c r="G208" s="196"/>
      <c r="H208" s="196"/>
      <c r="I208" s="196"/>
      <c r="J208" s="49" t="s">
        <v>253</v>
      </c>
      <c r="K208" s="107" t="s">
        <v>146</v>
      </c>
      <c r="L208" s="114">
        <v>1200</v>
      </c>
      <c r="M208" s="114">
        <v>1200</v>
      </c>
      <c r="N208" s="45" t="s">
        <v>0</v>
      </c>
      <c r="O208" s="44" t="s">
        <v>0</v>
      </c>
      <c r="P208" s="107"/>
      <c r="Q208" s="45">
        <v>1200</v>
      </c>
      <c r="R208" s="24">
        <f t="shared" si="37"/>
        <v>1</v>
      </c>
      <c r="S208" s="15"/>
    </row>
    <row r="209" spans="2:19" ht="77.25" customHeight="1" x14ac:dyDescent="0.3">
      <c r="B209" s="209"/>
      <c r="C209" s="197"/>
      <c r="D209" s="110" t="s">
        <v>10</v>
      </c>
      <c r="E209" s="52">
        <v>903</v>
      </c>
      <c r="F209" s="110" t="s">
        <v>197</v>
      </c>
      <c r="G209" s="110" t="s">
        <v>221</v>
      </c>
      <c r="H209" s="110" t="s">
        <v>222</v>
      </c>
      <c r="I209" s="52">
        <v>621</v>
      </c>
      <c r="J209" s="49" t="s">
        <v>4</v>
      </c>
      <c r="K209" s="107" t="s">
        <v>3</v>
      </c>
      <c r="L209" s="50">
        <v>898.7</v>
      </c>
      <c r="M209" s="50">
        <v>914.5</v>
      </c>
      <c r="N209" s="50">
        <f>M209</f>
        <v>914.5</v>
      </c>
      <c r="O209" s="46">
        <f t="shared" ref="O209" si="48">N209/M209</f>
        <v>1</v>
      </c>
      <c r="P209" s="107"/>
      <c r="Q209" s="45">
        <f>M209</f>
        <v>914.5</v>
      </c>
      <c r="R209" s="24">
        <f t="shared" si="37"/>
        <v>1</v>
      </c>
      <c r="S209" s="15"/>
    </row>
    <row r="210" spans="2:19" ht="47.25" x14ac:dyDescent="0.3">
      <c r="B210" s="209" t="s">
        <v>515</v>
      </c>
      <c r="C210" s="197" t="s">
        <v>254</v>
      </c>
      <c r="D210" s="110" t="s">
        <v>13</v>
      </c>
      <c r="E210" s="196" t="s">
        <v>255</v>
      </c>
      <c r="F210" s="196"/>
      <c r="G210" s="196"/>
      <c r="H210" s="196"/>
      <c r="I210" s="196"/>
      <c r="J210" s="49" t="s">
        <v>256</v>
      </c>
      <c r="K210" s="107" t="s">
        <v>67</v>
      </c>
      <c r="L210" s="114">
        <v>2</v>
      </c>
      <c r="M210" s="114">
        <f>L210</f>
        <v>2</v>
      </c>
      <c r="N210" s="45" t="s">
        <v>0</v>
      </c>
      <c r="O210" s="44" t="s">
        <v>0</v>
      </c>
      <c r="P210" s="107"/>
      <c r="Q210" s="45">
        <v>2</v>
      </c>
      <c r="R210" s="24">
        <f t="shared" si="37"/>
        <v>1</v>
      </c>
      <c r="S210" s="15"/>
    </row>
    <row r="211" spans="2:19" ht="31.5" x14ac:dyDescent="0.3">
      <c r="B211" s="209"/>
      <c r="C211" s="197"/>
      <c r="D211" s="110" t="s">
        <v>10</v>
      </c>
      <c r="E211" s="52">
        <v>903</v>
      </c>
      <c r="F211" s="110" t="s">
        <v>197</v>
      </c>
      <c r="G211" s="110" t="s">
        <v>221</v>
      </c>
      <c r="H211" s="110" t="s">
        <v>222</v>
      </c>
      <c r="I211" s="52">
        <v>621</v>
      </c>
      <c r="J211" s="49" t="s">
        <v>4</v>
      </c>
      <c r="K211" s="107" t="s">
        <v>3</v>
      </c>
      <c r="L211" s="50">
        <v>1039.5</v>
      </c>
      <c r="M211" s="50">
        <f t="shared" ref="M211" si="49">L211</f>
        <v>1039.5</v>
      </c>
      <c r="N211" s="50">
        <f>M211</f>
        <v>1039.5</v>
      </c>
      <c r="O211" s="46">
        <f t="shared" ref="O211" si="50">N211/M211</f>
        <v>1</v>
      </c>
      <c r="P211" s="107"/>
      <c r="Q211" s="45">
        <f>M211</f>
        <v>1039.5</v>
      </c>
      <c r="R211" s="24">
        <f t="shared" si="37"/>
        <v>1</v>
      </c>
      <c r="S211" s="15"/>
    </row>
    <row r="212" spans="2:19" ht="94.5" x14ac:dyDescent="0.3">
      <c r="B212" s="209" t="s">
        <v>516</v>
      </c>
      <c r="C212" s="197" t="s">
        <v>257</v>
      </c>
      <c r="D212" s="110" t="s">
        <v>13</v>
      </c>
      <c r="E212" s="196" t="s">
        <v>258</v>
      </c>
      <c r="F212" s="196"/>
      <c r="G212" s="196"/>
      <c r="H212" s="196"/>
      <c r="I212" s="196"/>
      <c r="J212" s="49" t="s">
        <v>259</v>
      </c>
      <c r="K212" s="107" t="s">
        <v>59</v>
      </c>
      <c r="L212" s="114">
        <v>500</v>
      </c>
      <c r="M212" s="114">
        <f>L212</f>
        <v>500</v>
      </c>
      <c r="N212" s="45" t="s">
        <v>0</v>
      </c>
      <c r="O212" s="44" t="s">
        <v>0</v>
      </c>
      <c r="P212" s="107"/>
      <c r="Q212" s="45">
        <v>575</v>
      </c>
      <c r="R212" s="24">
        <f t="shared" si="37"/>
        <v>1.1499999999999999</v>
      </c>
      <c r="S212" s="15"/>
    </row>
    <row r="213" spans="2:19" ht="31.5" x14ac:dyDescent="0.3">
      <c r="B213" s="209"/>
      <c r="C213" s="197"/>
      <c r="D213" s="110" t="s">
        <v>10</v>
      </c>
      <c r="E213" s="52">
        <v>903</v>
      </c>
      <c r="F213" s="110" t="s">
        <v>197</v>
      </c>
      <c r="G213" s="110" t="s">
        <v>221</v>
      </c>
      <c r="H213" s="110" t="s">
        <v>260</v>
      </c>
      <c r="I213" s="52">
        <v>611</v>
      </c>
      <c r="J213" s="49" t="s">
        <v>4</v>
      </c>
      <c r="K213" s="107" t="s">
        <v>3</v>
      </c>
      <c r="L213" s="50">
        <v>487.4</v>
      </c>
      <c r="M213" s="50">
        <v>495</v>
      </c>
      <c r="N213" s="50">
        <f>M213</f>
        <v>495</v>
      </c>
      <c r="O213" s="46">
        <f t="shared" ref="O213" si="51">N213/M213</f>
        <v>1</v>
      </c>
      <c r="P213" s="107"/>
      <c r="Q213" s="45">
        <f>M213</f>
        <v>495</v>
      </c>
      <c r="R213" s="24">
        <f t="shared" si="37"/>
        <v>1</v>
      </c>
      <c r="S213" s="15"/>
    </row>
    <row r="214" spans="2:19" ht="110.25" x14ac:dyDescent="0.3">
      <c r="B214" s="209" t="s">
        <v>517</v>
      </c>
      <c r="C214" s="197" t="s">
        <v>261</v>
      </c>
      <c r="D214" s="110" t="s">
        <v>13</v>
      </c>
      <c r="E214" s="196" t="s">
        <v>262</v>
      </c>
      <c r="F214" s="196"/>
      <c r="G214" s="196"/>
      <c r="H214" s="196"/>
      <c r="I214" s="196"/>
      <c r="J214" s="49" t="s">
        <v>263</v>
      </c>
      <c r="K214" s="107" t="s">
        <v>146</v>
      </c>
      <c r="L214" s="114">
        <v>2155</v>
      </c>
      <c r="M214" s="114">
        <f>L214</f>
        <v>2155</v>
      </c>
      <c r="N214" s="45" t="s">
        <v>0</v>
      </c>
      <c r="O214" s="44" t="s">
        <v>0</v>
      </c>
      <c r="P214" s="107"/>
      <c r="Q214" s="45">
        <v>2462</v>
      </c>
      <c r="R214" s="24">
        <f t="shared" si="37"/>
        <v>1.1419999999999999</v>
      </c>
      <c r="S214" s="15"/>
    </row>
    <row r="215" spans="2:19" ht="31.5" x14ac:dyDescent="0.3">
      <c r="B215" s="209"/>
      <c r="C215" s="197"/>
      <c r="D215" s="110" t="s">
        <v>10</v>
      </c>
      <c r="E215" s="52">
        <v>903</v>
      </c>
      <c r="F215" s="110" t="s">
        <v>197</v>
      </c>
      <c r="G215" s="110" t="s">
        <v>221</v>
      </c>
      <c r="H215" s="110" t="s">
        <v>260</v>
      </c>
      <c r="I215" s="52">
        <v>611</v>
      </c>
      <c r="J215" s="49" t="s">
        <v>4</v>
      </c>
      <c r="K215" s="107" t="s">
        <v>3</v>
      </c>
      <c r="L215" s="50">
        <v>3626</v>
      </c>
      <c r="M215" s="50">
        <v>3744.8</v>
      </c>
      <c r="N215" s="50">
        <f>M215</f>
        <v>3744.8</v>
      </c>
      <c r="O215" s="46">
        <f t="shared" ref="O215" si="52">N215/M215</f>
        <v>1</v>
      </c>
      <c r="P215" s="107"/>
      <c r="Q215" s="45">
        <f>M215</f>
        <v>3744.8</v>
      </c>
      <c r="R215" s="24">
        <f t="shared" si="37"/>
        <v>1</v>
      </c>
      <c r="S215" s="15"/>
    </row>
    <row r="216" spans="2:19" ht="47.25" x14ac:dyDescent="0.3">
      <c r="B216" s="209" t="s">
        <v>518</v>
      </c>
      <c r="C216" s="197" t="s">
        <v>264</v>
      </c>
      <c r="D216" s="110" t="s">
        <v>13</v>
      </c>
      <c r="E216" s="196" t="s">
        <v>265</v>
      </c>
      <c r="F216" s="196"/>
      <c r="G216" s="196"/>
      <c r="H216" s="196"/>
      <c r="I216" s="196"/>
      <c r="J216" s="49" t="s">
        <v>266</v>
      </c>
      <c r="K216" s="107" t="s">
        <v>146</v>
      </c>
      <c r="L216" s="114">
        <v>1100</v>
      </c>
      <c r="M216" s="114">
        <f>L216</f>
        <v>1100</v>
      </c>
      <c r="N216" s="45" t="s">
        <v>0</v>
      </c>
      <c r="O216" s="44" t="s">
        <v>0</v>
      </c>
      <c r="P216" s="107"/>
      <c r="Q216" s="45">
        <v>1220</v>
      </c>
      <c r="R216" s="24">
        <f t="shared" si="37"/>
        <v>1.109</v>
      </c>
      <c r="S216" s="15"/>
    </row>
    <row r="217" spans="2:19" ht="31.5" x14ac:dyDescent="0.3">
      <c r="B217" s="209"/>
      <c r="C217" s="197"/>
      <c r="D217" s="110" t="s">
        <v>10</v>
      </c>
      <c r="E217" s="52">
        <v>903</v>
      </c>
      <c r="F217" s="110" t="s">
        <v>197</v>
      </c>
      <c r="G217" s="110" t="s">
        <v>221</v>
      </c>
      <c r="H217" s="110" t="s">
        <v>260</v>
      </c>
      <c r="I217" s="52">
        <v>611</v>
      </c>
      <c r="J217" s="49" t="s">
        <v>4</v>
      </c>
      <c r="K217" s="107" t="s">
        <v>3</v>
      </c>
      <c r="L217" s="50">
        <v>3599.6</v>
      </c>
      <c r="M217" s="50">
        <v>3654</v>
      </c>
      <c r="N217" s="50">
        <f>M217</f>
        <v>3654</v>
      </c>
      <c r="O217" s="46">
        <f t="shared" ref="O217" si="53">N217/M217</f>
        <v>1</v>
      </c>
      <c r="P217" s="107"/>
      <c r="Q217" s="45">
        <f>M217</f>
        <v>3654</v>
      </c>
      <c r="R217" s="24">
        <f t="shared" si="37"/>
        <v>1</v>
      </c>
      <c r="S217" s="15"/>
    </row>
    <row r="218" spans="2:19" ht="31.5" x14ac:dyDescent="0.3">
      <c r="B218" s="209" t="s">
        <v>519</v>
      </c>
      <c r="C218" s="197" t="s">
        <v>267</v>
      </c>
      <c r="D218" s="110" t="s">
        <v>13</v>
      </c>
      <c r="E218" s="196" t="s">
        <v>268</v>
      </c>
      <c r="F218" s="196"/>
      <c r="G218" s="196"/>
      <c r="H218" s="196"/>
      <c r="I218" s="196"/>
      <c r="J218" s="49" t="s">
        <v>269</v>
      </c>
      <c r="K218" s="107" t="s">
        <v>270</v>
      </c>
      <c r="L218" s="114">
        <v>5</v>
      </c>
      <c r="M218" s="114">
        <v>5</v>
      </c>
      <c r="N218" s="45" t="s">
        <v>0</v>
      </c>
      <c r="O218" s="44" t="s">
        <v>0</v>
      </c>
      <c r="P218" s="107"/>
      <c r="Q218" s="45">
        <v>5</v>
      </c>
      <c r="R218" s="24">
        <f t="shared" si="37"/>
        <v>1</v>
      </c>
      <c r="S218" s="15"/>
    </row>
    <row r="219" spans="2:19" ht="31.5" x14ac:dyDescent="0.3">
      <c r="B219" s="209"/>
      <c r="C219" s="197"/>
      <c r="D219" s="110" t="s">
        <v>10</v>
      </c>
      <c r="E219" s="52">
        <v>903</v>
      </c>
      <c r="F219" s="110" t="s">
        <v>131</v>
      </c>
      <c r="G219" s="110" t="s">
        <v>100</v>
      </c>
      <c r="H219" s="110" t="s">
        <v>271</v>
      </c>
      <c r="I219" s="52">
        <v>611</v>
      </c>
      <c r="J219" s="49" t="s">
        <v>4</v>
      </c>
      <c r="K219" s="107" t="s">
        <v>3</v>
      </c>
      <c r="L219" s="50">
        <v>24215.4</v>
      </c>
      <c r="M219" s="50">
        <v>24527.7</v>
      </c>
      <c r="N219" s="50">
        <f>M219</f>
        <v>24527.7</v>
      </c>
      <c r="O219" s="46">
        <f t="shared" ref="O219" si="54">N219/M219</f>
        <v>1</v>
      </c>
      <c r="P219" s="107"/>
      <c r="Q219" s="45">
        <f>M219</f>
        <v>24527.7</v>
      </c>
      <c r="R219" s="24">
        <f t="shared" si="37"/>
        <v>1</v>
      </c>
      <c r="S219" s="15"/>
    </row>
    <row r="220" spans="2:19" ht="94.5" x14ac:dyDescent="0.3">
      <c r="B220" s="209" t="s">
        <v>520</v>
      </c>
      <c r="C220" s="197" t="s">
        <v>272</v>
      </c>
      <c r="D220" s="110" t="s">
        <v>13</v>
      </c>
      <c r="E220" s="196" t="s">
        <v>273</v>
      </c>
      <c r="F220" s="196"/>
      <c r="G220" s="196"/>
      <c r="H220" s="196"/>
      <c r="I220" s="196"/>
      <c r="J220" s="49" t="s">
        <v>274</v>
      </c>
      <c r="K220" s="107" t="s">
        <v>130</v>
      </c>
      <c r="L220" s="114">
        <v>28</v>
      </c>
      <c r="M220" s="114">
        <f>L220</f>
        <v>28</v>
      </c>
      <c r="N220" s="45" t="s">
        <v>0</v>
      </c>
      <c r="O220" s="44" t="s">
        <v>0</v>
      </c>
      <c r="P220" s="107"/>
      <c r="Q220" s="45">
        <v>28</v>
      </c>
      <c r="R220" s="24">
        <f t="shared" si="37"/>
        <v>1</v>
      </c>
      <c r="S220" s="15"/>
    </row>
    <row r="221" spans="2:19" ht="31.5" x14ac:dyDescent="0.3">
      <c r="B221" s="209"/>
      <c r="C221" s="197"/>
      <c r="D221" s="110" t="s">
        <v>10</v>
      </c>
      <c r="E221" s="52">
        <v>903</v>
      </c>
      <c r="F221" s="110" t="s">
        <v>197</v>
      </c>
      <c r="G221" s="110" t="s">
        <v>221</v>
      </c>
      <c r="H221" s="110" t="s">
        <v>222</v>
      </c>
      <c r="I221" s="52">
        <v>621</v>
      </c>
      <c r="J221" s="49" t="s">
        <v>4</v>
      </c>
      <c r="K221" s="107" t="s">
        <v>3</v>
      </c>
      <c r="L221" s="50">
        <v>7067.8</v>
      </c>
      <c r="M221" s="50">
        <f t="shared" ref="M221" si="55">L221</f>
        <v>7067.8</v>
      </c>
      <c r="N221" s="50">
        <f>M221</f>
        <v>7067.8</v>
      </c>
      <c r="O221" s="46">
        <f t="shared" ref="O221" si="56">N221/M221</f>
        <v>1</v>
      </c>
      <c r="P221" s="107"/>
      <c r="Q221" s="45">
        <f>M221</f>
        <v>7067.8</v>
      </c>
      <c r="R221" s="24">
        <f t="shared" si="37"/>
        <v>1</v>
      </c>
      <c r="S221" s="15"/>
    </row>
    <row r="222" spans="2:19" ht="31.5" x14ac:dyDescent="0.3">
      <c r="B222" s="209" t="s">
        <v>521</v>
      </c>
      <c r="C222" s="197" t="s">
        <v>275</v>
      </c>
      <c r="D222" s="110" t="s">
        <v>13</v>
      </c>
      <c r="E222" s="196" t="s">
        <v>276</v>
      </c>
      <c r="F222" s="196"/>
      <c r="G222" s="196"/>
      <c r="H222" s="196"/>
      <c r="I222" s="196"/>
      <c r="J222" s="49" t="s">
        <v>167</v>
      </c>
      <c r="K222" s="107" t="s">
        <v>59</v>
      </c>
      <c r="L222" s="114">
        <v>20</v>
      </c>
      <c r="M222" s="114">
        <f>L222</f>
        <v>20</v>
      </c>
      <c r="N222" s="45" t="s">
        <v>0</v>
      </c>
      <c r="O222" s="44" t="s">
        <v>0</v>
      </c>
      <c r="P222" s="107"/>
      <c r="Q222" s="45">
        <v>20</v>
      </c>
      <c r="R222" s="24">
        <f t="shared" si="37"/>
        <v>1</v>
      </c>
      <c r="S222" s="15"/>
    </row>
    <row r="223" spans="2:19" ht="46.5" customHeight="1" x14ac:dyDescent="0.3">
      <c r="B223" s="209"/>
      <c r="C223" s="197"/>
      <c r="D223" s="110" t="s">
        <v>10</v>
      </c>
      <c r="E223" s="52">
        <v>903</v>
      </c>
      <c r="F223" s="110" t="s">
        <v>197</v>
      </c>
      <c r="G223" s="110" t="s">
        <v>197</v>
      </c>
      <c r="H223" s="110" t="s">
        <v>233</v>
      </c>
      <c r="I223" s="52">
        <v>611</v>
      </c>
      <c r="J223" s="49" t="s">
        <v>4</v>
      </c>
      <c r="K223" s="107" t="s">
        <v>3</v>
      </c>
      <c r="L223" s="50">
        <v>1953</v>
      </c>
      <c r="M223" s="50">
        <f>L223</f>
        <v>1953</v>
      </c>
      <c r="N223" s="50">
        <f>M223</f>
        <v>1953</v>
      </c>
      <c r="O223" s="46">
        <f t="shared" ref="O223" si="57">N223/M223</f>
        <v>1</v>
      </c>
      <c r="P223" s="107"/>
      <c r="Q223" s="45">
        <f>M223</f>
        <v>1953</v>
      </c>
      <c r="R223" s="24">
        <f t="shared" si="37"/>
        <v>1</v>
      </c>
      <c r="S223" s="15"/>
    </row>
    <row r="224" spans="2:19" ht="31.5" x14ac:dyDescent="0.3">
      <c r="B224" s="209" t="s">
        <v>522</v>
      </c>
      <c r="C224" s="197" t="s">
        <v>277</v>
      </c>
      <c r="D224" s="110" t="s">
        <v>13</v>
      </c>
      <c r="E224" s="196" t="s">
        <v>278</v>
      </c>
      <c r="F224" s="196"/>
      <c r="G224" s="196"/>
      <c r="H224" s="196"/>
      <c r="I224" s="196"/>
      <c r="J224" s="49" t="s">
        <v>279</v>
      </c>
      <c r="K224" s="107" t="s">
        <v>188</v>
      </c>
      <c r="L224" s="114">
        <v>3</v>
      </c>
      <c r="M224" s="114">
        <v>3</v>
      </c>
      <c r="N224" s="45" t="s">
        <v>0</v>
      </c>
      <c r="O224" s="44" t="s">
        <v>0</v>
      </c>
      <c r="P224" s="107"/>
      <c r="Q224" s="114">
        <v>3</v>
      </c>
      <c r="R224" s="24">
        <f t="shared" si="37"/>
        <v>1</v>
      </c>
      <c r="S224" s="15"/>
    </row>
    <row r="225" spans="2:19" ht="31.5" x14ac:dyDescent="0.3">
      <c r="B225" s="209"/>
      <c r="C225" s="197"/>
      <c r="D225" s="110" t="s">
        <v>10</v>
      </c>
      <c r="E225" s="52">
        <v>903</v>
      </c>
      <c r="F225" s="110" t="s">
        <v>197</v>
      </c>
      <c r="G225" s="110" t="s">
        <v>7</v>
      </c>
      <c r="H225" s="110" t="s">
        <v>216</v>
      </c>
      <c r="I225" s="52">
        <v>611</v>
      </c>
      <c r="J225" s="49" t="s">
        <v>4</v>
      </c>
      <c r="K225" s="107" t="s">
        <v>3</v>
      </c>
      <c r="L225" s="114">
        <v>14882.495999999999</v>
      </c>
      <c r="M225" s="114">
        <v>14726.396000000001</v>
      </c>
      <c r="N225" s="114">
        <v>14726.396000000001</v>
      </c>
      <c r="O225" s="46">
        <v>1</v>
      </c>
      <c r="P225" s="107"/>
      <c r="Q225" s="114">
        <v>14726.396000000001</v>
      </c>
      <c r="R225" s="24">
        <f t="shared" si="37"/>
        <v>1</v>
      </c>
      <c r="S225" s="15"/>
    </row>
    <row r="226" spans="2:19" ht="47.25" x14ac:dyDescent="0.3">
      <c r="B226" s="209" t="s">
        <v>523</v>
      </c>
      <c r="C226" s="197" t="s">
        <v>242</v>
      </c>
      <c r="D226" s="110" t="s">
        <v>13</v>
      </c>
      <c r="E226" s="196" t="s">
        <v>280</v>
      </c>
      <c r="F226" s="196"/>
      <c r="G226" s="196"/>
      <c r="H226" s="196"/>
      <c r="I226" s="196"/>
      <c r="J226" s="49" t="s">
        <v>281</v>
      </c>
      <c r="K226" s="107" t="s">
        <v>146</v>
      </c>
      <c r="L226" s="114">
        <v>150</v>
      </c>
      <c r="M226" s="114">
        <v>150</v>
      </c>
      <c r="N226" s="45" t="s">
        <v>0</v>
      </c>
      <c r="O226" s="44" t="s">
        <v>0</v>
      </c>
      <c r="P226" s="107"/>
      <c r="Q226" s="45">
        <v>150</v>
      </c>
      <c r="R226" s="24">
        <f t="shared" si="37"/>
        <v>1</v>
      </c>
      <c r="S226" s="15"/>
    </row>
    <row r="227" spans="2:19" ht="31.5" x14ac:dyDescent="0.3">
      <c r="B227" s="209"/>
      <c r="C227" s="197"/>
      <c r="D227" s="110" t="s">
        <v>10</v>
      </c>
      <c r="E227" s="52">
        <v>903</v>
      </c>
      <c r="F227" s="110" t="s">
        <v>197</v>
      </c>
      <c r="G227" s="110" t="s">
        <v>221</v>
      </c>
      <c r="H227" s="110" t="s">
        <v>222</v>
      </c>
      <c r="I227" s="52">
        <v>621</v>
      </c>
      <c r="J227" s="49" t="s">
        <v>4</v>
      </c>
      <c r="K227" s="107" t="s">
        <v>3</v>
      </c>
      <c r="L227" s="50">
        <v>1987</v>
      </c>
      <c r="M227" s="50">
        <v>2027.2</v>
      </c>
      <c r="N227" s="50">
        <f>M227</f>
        <v>2027.2</v>
      </c>
      <c r="O227" s="46">
        <f t="shared" ref="O227" si="58">N227/M227</f>
        <v>1</v>
      </c>
      <c r="P227" s="107"/>
      <c r="Q227" s="45">
        <f>M227</f>
        <v>2027.2</v>
      </c>
      <c r="R227" s="24">
        <f t="shared" si="37"/>
        <v>1</v>
      </c>
      <c r="S227" s="15"/>
    </row>
    <row r="228" spans="2:19" ht="63" x14ac:dyDescent="0.3">
      <c r="B228" s="209" t="s">
        <v>524</v>
      </c>
      <c r="C228" s="197" t="s">
        <v>282</v>
      </c>
      <c r="D228" s="110" t="s">
        <v>13</v>
      </c>
      <c r="E228" s="196" t="s">
        <v>283</v>
      </c>
      <c r="F228" s="196"/>
      <c r="G228" s="196"/>
      <c r="H228" s="196"/>
      <c r="I228" s="196"/>
      <c r="J228" s="49" t="s">
        <v>284</v>
      </c>
      <c r="K228" s="107" t="s">
        <v>146</v>
      </c>
      <c r="L228" s="114">
        <v>405</v>
      </c>
      <c r="M228" s="114">
        <v>405</v>
      </c>
      <c r="N228" s="45" t="s">
        <v>0</v>
      </c>
      <c r="O228" s="44" t="s">
        <v>0</v>
      </c>
      <c r="P228" s="107"/>
      <c r="Q228" s="45">
        <v>405</v>
      </c>
      <c r="R228" s="24">
        <f t="shared" si="37"/>
        <v>1</v>
      </c>
      <c r="S228" s="15"/>
    </row>
    <row r="229" spans="2:19" ht="31.5" x14ac:dyDescent="0.3">
      <c r="B229" s="209"/>
      <c r="C229" s="197"/>
      <c r="D229" s="110" t="s">
        <v>10</v>
      </c>
      <c r="E229" s="52">
        <v>903</v>
      </c>
      <c r="F229" s="110" t="s">
        <v>197</v>
      </c>
      <c r="G229" s="110" t="s">
        <v>7</v>
      </c>
      <c r="H229" s="110" t="s">
        <v>216</v>
      </c>
      <c r="I229" s="52">
        <v>611</v>
      </c>
      <c r="J229" s="49" t="s">
        <v>4</v>
      </c>
      <c r="K229" s="107" t="s">
        <v>3</v>
      </c>
      <c r="L229" s="50">
        <v>8172</v>
      </c>
      <c r="M229" s="50">
        <f>L229</f>
        <v>8172</v>
      </c>
      <c r="N229" s="50">
        <f>M229</f>
        <v>8172</v>
      </c>
      <c r="O229" s="46">
        <f t="shared" ref="O229" si="59">N229/M229</f>
        <v>1</v>
      </c>
      <c r="P229" s="107"/>
      <c r="Q229" s="45">
        <f>M229</f>
        <v>8172</v>
      </c>
      <c r="R229" s="24">
        <f t="shared" si="37"/>
        <v>1</v>
      </c>
      <c r="S229" s="15"/>
    </row>
    <row r="230" spans="2:19" x14ac:dyDescent="0.3">
      <c r="B230" s="109"/>
      <c r="C230" s="51" t="s">
        <v>1</v>
      </c>
      <c r="D230" s="52"/>
      <c r="E230" s="52"/>
      <c r="F230" s="52"/>
      <c r="G230" s="52"/>
      <c r="H230" s="52"/>
      <c r="I230" s="52"/>
      <c r="J230" s="53"/>
      <c r="K230" s="16"/>
      <c r="L230" s="94">
        <f>L167+L169+L171+L173+L175+L177+L180+L182+L185+L187+L189+L191+L193+L195+L197+L199+L201+L203+L205+L207+L209+L211+L213+L215+L217+L219+L221+L223+L225+L227+L229+L179+L184</f>
        <v>574231.14</v>
      </c>
      <c r="M230" s="94">
        <f t="shared" ref="M230:Q230" si="60">M167+M169+M171+M173+M175+M177+M180+M182+M185+M187+M189+M191+M193+M195+M197+M199+M201+M203+M205+M207+M209+M211+M213+M215+M217+M219+M221+M223+M225+M227+M229+M179+M184</f>
        <v>615907.04</v>
      </c>
      <c r="N230" s="94">
        <f t="shared" si="60"/>
        <v>615783.84</v>
      </c>
      <c r="O230" s="24">
        <f>N230/M230</f>
        <v>1</v>
      </c>
      <c r="P230" s="94"/>
      <c r="Q230" s="94">
        <f t="shared" si="60"/>
        <v>615660.64</v>
      </c>
      <c r="R230" s="24">
        <f t="shared" si="37"/>
        <v>1</v>
      </c>
      <c r="S230" s="15"/>
    </row>
    <row r="231" spans="2:19" ht="69.75" customHeight="1" x14ac:dyDescent="0.3">
      <c r="B231" s="196" t="s">
        <v>525</v>
      </c>
      <c r="C231" s="196" t="s">
        <v>311</v>
      </c>
      <c r="D231" s="196" t="s">
        <v>13</v>
      </c>
      <c r="E231" s="196" t="s">
        <v>223</v>
      </c>
      <c r="F231" s="196"/>
      <c r="G231" s="196"/>
      <c r="H231" s="196"/>
      <c r="I231" s="196"/>
      <c r="J231" s="43" t="s">
        <v>312</v>
      </c>
      <c r="K231" s="110" t="s">
        <v>16</v>
      </c>
      <c r="L231" s="117"/>
      <c r="M231" s="117" t="s">
        <v>313</v>
      </c>
      <c r="N231" s="45" t="s">
        <v>29</v>
      </c>
      <c r="O231" s="45" t="s">
        <v>0</v>
      </c>
      <c r="P231" s="111"/>
      <c r="Q231" s="110" t="s">
        <v>313</v>
      </c>
      <c r="R231" s="24">
        <f t="shared" si="37"/>
        <v>1</v>
      </c>
      <c r="S231" s="86"/>
    </row>
    <row r="232" spans="2:19" ht="63" x14ac:dyDescent="0.3">
      <c r="B232" s="196"/>
      <c r="C232" s="196"/>
      <c r="D232" s="196"/>
      <c r="E232" s="196"/>
      <c r="F232" s="196"/>
      <c r="G232" s="196"/>
      <c r="H232" s="196"/>
      <c r="I232" s="196"/>
      <c r="J232" s="43" t="s">
        <v>314</v>
      </c>
      <c r="K232" s="110" t="s">
        <v>16</v>
      </c>
      <c r="L232" s="117"/>
      <c r="M232" s="117" t="s">
        <v>313</v>
      </c>
      <c r="N232" s="45" t="s">
        <v>29</v>
      </c>
      <c r="O232" s="45" t="s">
        <v>0</v>
      </c>
      <c r="P232" s="111"/>
      <c r="Q232" s="110" t="s">
        <v>313</v>
      </c>
      <c r="R232" s="24">
        <f t="shared" ref="R232:R238" si="61">Q232/M232</f>
        <v>1</v>
      </c>
      <c r="S232" s="86"/>
    </row>
    <row r="233" spans="2:19" x14ac:dyDescent="0.3">
      <c r="B233" s="196"/>
      <c r="C233" s="196"/>
      <c r="D233" s="196"/>
      <c r="E233" s="196"/>
      <c r="F233" s="196"/>
      <c r="G233" s="196"/>
      <c r="H233" s="196"/>
      <c r="I233" s="196"/>
      <c r="J233" s="43" t="s">
        <v>220</v>
      </c>
      <c r="K233" s="107" t="s">
        <v>200</v>
      </c>
      <c r="L233" s="44"/>
      <c r="M233" s="44">
        <v>33460</v>
      </c>
      <c r="N233" s="45" t="s">
        <v>29</v>
      </c>
      <c r="O233" s="45" t="s">
        <v>0</v>
      </c>
      <c r="P233" s="44"/>
      <c r="Q233" s="44">
        <v>33180</v>
      </c>
      <c r="R233" s="24">
        <f t="shared" si="61"/>
        <v>0.99199999999999999</v>
      </c>
      <c r="S233" s="86"/>
    </row>
    <row r="234" spans="2:19" ht="141.75" x14ac:dyDescent="0.3">
      <c r="B234" s="196" t="s">
        <v>526</v>
      </c>
      <c r="C234" s="200" t="s">
        <v>315</v>
      </c>
      <c r="D234" s="196" t="s">
        <v>13</v>
      </c>
      <c r="E234" s="196" t="s">
        <v>317</v>
      </c>
      <c r="F234" s="196"/>
      <c r="G234" s="196"/>
      <c r="H234" s="196"/>
      <c r="I234" s="196"/>
      <c r="J234" s="43" t="s">
        <v>649</v>
      </c>
      <c r="K234" s="108" t="s">
        <v>16</v>
      </c>
      <c r="L234" s="44"/>
      <c r="M234" s="44">
        <v>100</v>
      </c>
      <c r="N234" s="45" t="s">
        <v>0</v>
      </c>
      <c r="O234" s="45" t="s">
        <v>0</v>
      </c>
      <c r="P234" s="44"/>
      <c r="Q234" s="44">
        <v>100</v>
      </c>
      <c r="R234" s="24">
        <f t="shared" si="61"/>
        <v>1</v>
      </c>
      <c r="S234" s="86"/>
    </row>
    <row r="235" spans="2:19" x14ac:dyDescent="0.3">
      <c r="B235" s="196"/>
      <c r="C235" s="200"/>
      <c r="D235" s="196"/>
      <c r="E235" s="196"/>
      <c r="F235" s="196"/>
      <c r="G235" s="196"/>
      <c r="H235" s="196"/>
      <c r="I235" s="196"/>
      <c r="J235" s="43" t="s">
        <v>316</v>
      </c>
      <c r="K235" s="108" t="s">
        <v>177</v>
      </c>
      <c r="L235" s="44"/>
      <c r="M235" s="44">
        <v>15</v>
      </c>
      <c r="N235" s="45" t="s">
        <v>0</v>
      </c>
      <c r="O235" s="44" t="s">
        <v>0</v>
      </c>
      <c r="P235" s="44"/>
      <c r="Q235" s="44">
        <v>15</v>
      </c>
      <c r="R235" s="24">
        <f t="shared" si="61"/>
        <v>1</v>
      </c>
      <c r="S235" s="86"/>
    </row>
    <row r="236" spans="2:19" ht="31.5" x14ac:dyDescent="0.3">
      <c r="B236" s="196"/>
      <c r="C236" s="200"/>
      <c r="D236" s="110" t="s">
        <v>10</v>
      </c>
      <c r="E236" s="87">
        <v>909</v>
      </c>
      <c r="F236" s="110" t="s">
        <v>197</v>
      </c>
      <c r="G236" s="110" t="s">
        <v>7</v>
      </c>
      <c r="H236" s="110" t="s">
        <v>216</v>
      </c>
      <c r="I236" s="107">
        <v>611</v>
      </c>
      <c r="J236" s="147" t="s">
        <v>4</v>
      </c>
      <c r="K236" s="107" t="s">
        <v>3</v>
      </c>
      <c r="L236" s="107">
        <v>0</v>
      </c>
      <c r="M236" s="45">
        <v>3599.2</v>
      </c>
      <c r="N236" s="45">
        <v>3599.2</v>
      </c>
      <c r="O236" s="24">
        <v>1</v>
      </c>
      <c r="P236" s="86"/>
      <c r="Q236" s="45">
        <v>3599.2</v>
      </c>
      <c r="R236" s="24">
        <f t="shared" si="61"/>
        <v>1</v>
      </c>
      <c r="S236" s="86"/>
    </row>
    <row r="237" spans="2:19" x14ac:dyDescent="0.3">
      <c r="B237" s="109"/>
      <c r="C237" s="51" t="s">
        <v>1</v>
      </c>
      <c r="D237" s="110"/>
      <c r="E237" s="87"/>
      <c r="F237" s="87"/>
      <c r="G237" s="87"/>
      <c r="H237" s="87"/>
      <c r="I237" s="87"/>
      <c r="J237" s="43"/>
      <c r="K237" s="107"/>
      <c r="L237" s="45">
        <f>L236</f>
        <v>0</v>
      </c>
      <c r="M237" s="45">
        <f t="shared" ref="M237:Q237" si="62">M236</f>
        <v>3599.2</v>
      </c>
      <c r="N237" s="45">
        <f t="shared" si="62"/>
        <v>3599.2</v>
      </c>
      <c r="O237" s="24">
        <v>1</v>
      </c>
      <c r="P237" s="45"/>
      <c r="Q237" s="45">
        <f t="shared" si="62"/>
        <v>3599.2</v>
      </c>
      <c r="R237" s="24">
        <f t="shared" si="61"/>
        <v>1</v>
      </c>
      <c r="S237" s="86"/>
    </row>
    <row r="238" spans="2:19" s="23" customFormat="1" x14ac:dyDescent="0.3">
      <c r="B238" s="77"/>
      <c r="C238" s="78" t="s">
        <v>2</v>
      </c>
      <c r="D238" s="125"/>
      <c r="E238" s="159"/>
      <c r="F238" s="159"/>
      <c r="G238" s="159"/>
      <c r="H238" s="159"/>
      <c r="I238" s="159"/>
      <c r="J238" s="160"/>
      <c r="K238" s="84"/>
      <c r="L238" s="104">
        <f>L237+L162+L165+L230</f>
        <v>643627.19999999995</v>
      </c>
      <c r="M238" s="104">
        <f>M237+M162+M165+M230</f>
        <v>696769.1</v>
      </c>
      <c r="N238" s="104">
        <f>N237+N162+N165+N230</f>
        <v>696645.9</v>
      </c>
      <c r="O238" s="132">
        <v>1</v>
      </c>
      <c r="P238" s="104"/>
      <c r="Q238" s="104">
        <f>Q237+Q162+Q165+Q230</f>
        <v>697339.6</v>
      </c>
      <c r="R238" s="24">
        <f t="shared" si="61"/>
        <v>1.0009999999999999</v>
      </c>
      <c r="S238" s="161"/>
    </row>
    <row r="239" spans="2:19" ht="18.75" customHeight="1" x14ac:dyDescent="0.3">
      <c r="B239" s="111" t="s">
        <v>367</v>
      </c>
      <c r="C239" s="242" t="s">
        <v>287</v>
      </c>
      <c r="D239" s="243"/>
      <c r="E239" s="243"/>
      <c r="F239" s="243"/>
      <c r="G239" s="243"/>
      <c r="H239" s="243"/>
      <c r="I239" s="243"/>
      <c r="J239" s="243"/>
      <c r="K239" s="258"/>
      <c r="L239" s="91"/>
      <c r="M239" s="91"/>
      <c r="N239" s="91"/>
      <c r="O239" s="91"/>
      <c r="P239" s="91"/>
      <c r="Q239" s="91"/>
      <c r="R239" s="91"/>
      <c r="S239" s="91"/>
    </row>
    <row r="240" spans="2:19" ht="39" customHeight="1" x14ac:dyDescent="0.3">
      <c r="B240" s="209" t="s">
        <v>527</v>
      </c>
      <c r="C240" s="220" t="s">
        <v>288</v>
      </c>
      <c r="D240" s="110" t="s">
        <v>13</v>
      </c>
      <c r="E240" s="199" t="s">
        <v>318</v>
      </c>
      <c r="F240" s="199"/>
      <c r="G240" s="199"/>
      <c r="H240" s="199"/>
      <c r="I240" s="199"/>
      <c r="J240" s="43" t="s">
        <v>289</v>
      </c>
      <c r="K240" s="107" t="s">
        <v>146</v>
      </c>
      <c r="L240" s="44">
        <v>27610</v>
      </c>
      <c r="M240" s="44">
        <v>51128</v>
      </c>
      <c r="N240" s="45" t="s">
        <v>0</v>
      </c>
      <c r="O240" s="44" t="s">
        <v>0</v>
      </c>
      <c r="P240" s="253" t="s">
        <v>628</v>
      </c>
      <c r="Q240" s="44">
        <v>51258</v>
      </c>
      <c r="R240" s="24">
        <f>Q240/M240</f>
        <v>1.0029999999999999</v>
      </c>
      <c r="S240" s="44"/>
    </row>
    <row r="241" spans="2:19" ht="31.5" x14ac:dyDescent="0.3">
      <c r="B241" s="209"/>
      <c r="C241" s="220"/>
      <c r="D241" s="47" t="s">
        <v>10</v>
      </c>
      <c r="E241" s="110" t="s">
        <v>290</v>
      </c>
      <c r="F241" s="110" t="s">
        <v>291</v>
      </c>
      <c r="G241" s="110" t="s">
        <v>131</v>
      </c>
      <c r="H241" s="110" t="s">
        <v>292</v>
      </c>
      <c r="I241" s="110" t="s">
        <v>150</v>
      </c>
      <c r="J241" s="49" t="s">
        <v>4</v>
      </c>
      <c r="K241" s="107" t="s">
        <v>3</v>
      </c>
      <c r="L241" s="45">
        <v>28042.799999999999</v>
      </c>
      <c r="M241" s="45">
        <v>29816.6</v>
      </c>
      <c r="N241" s="45">
        <v>29816.6</v>
      </c>
      <c r="O241" s="24">
        <v>1</v>
      </c>
      <c r="P241" s="254"/>
      <c r="Q241" s="45">
        <v>29816.6</v>
      </c>
      <c r="R241" s="24">
        <v>1</v>
      </c>
      <c r="S241" s="43"/>
    </row>
    <row r="242" spans="2:19" ht="42" customHeight="1" x14ac:dyDescent="0.3">
      <c r="B242" s="209" t="s">
        <v>528</v>
      </c>
      <c r="C242" s="220" t="s">
        <v>288</v>
      </c>
      <c r="D242" s="110" t="s">
        <v>13</v>
      </c>
      <c r="E242" s="199" t="s">
        <v>319</v>
      </c>
      <c r="F242" s="199"/>
      <c r="G242" s="199"/>
      <c r="H242" s="199"/>
      <c r="I242" s="199"/>
      <c r="J242" s="43" t="s">
        <v>289</v>
      </c>
      <c r="K242" s="107" t="s">
        <v>146</v>
      </c>
      <c r="L242" s="44">
        <v>3360</v>
      </c>
      <c r="M242" s="44">
        <v>9890</v>
      </c>
      <c r="N242" s="45" t="s">
        <v>0</v>
      </c>
      <c r="O242" s="44" t="s">
        <v>0</v>
      </c>
      <c r="P242" s="253" t="s">
        <v>628</v>
      </c>
      <c r="Q242" s="44">
        <v>9967</v>
      </c>
      <c r="R242" s="24">
        <f>Q242/M242</f>
        <v>1.008</v>
      </c>
      <c r="S242" s="44"/>
    </row>
    <row r="243" spans="2:19" ht="43.5" customHeight="1" x14ac:dyDescent="0.3">
      <c r="B243" s="209"/>
      <c r="C243" s="220"/>
      <c r="D243" s="47" t="s">
        <v>10</v>
      </c>
      <c r="E243" s="110" t="s">
        <v>290</v>
      </c>
      <c r="F243" s="110" t="s">
        <v>291</v>
      </c>
      <c r="G243" s="110" t="s">
        <v>131</v>
      </c>
      <c r="H243" s="110" t="s">
        <v>292</v>
      </c>
      <c r="I243" s="110" t="s">
        <v>150</v>
      </c>
      <c r="J243" s="49" t="s">
        <v>4</v>
      </c>
      <c r="K243" s="107" t="s">
        <v>3</v>
      </c>
      <c r="L243" s="45">
        <v>4592.6000000000004</v>
      </c>
      <c r="M243" s="45">
        <v>4945.7</v>
      </c>
      <c r="N243" s="45">
        <v>4945.7</v>
      </c>
      <c r="O243" s="24">
        <v>1</v>
      </c>
      <c r="P243" s="254"/>
      <c r="Q243" s="45">
        <v>4945.7</v>
      </c>
      <c r="R243" s="24">
        <v>1</v>
      </c>
      <c r="S243" s="43"/>
    </row>
    <row r="244" spans="2:19" ht="42" customHeight="1" x14ac:dyDescent="0.3">
      <c r="B244" s="209" t="s">
        <v>529</v>
      </c>
      <c r="C244" s="220" t="s">
        <v>293</v>
      </c>
      <c r="D244" s="110" t="s">
        <v>13</v>
      </c>
      <c r="E244" s="199" t="s">
        <v>320</v>
      </c>
      <c r="F244" s="199"/>
      <c r="G244" s="199"/>
      <c r="H244" s="199"/>
      <c r="I244" s="199"/>
      <c r="J244" s="43" t="s">
        <v>289</v>
      </c>
      <c r="K244" s="107" t="s">
        <v>146</v>
      </c>
      <c r="L244" s="44">
        <v>2030</v>
      </c>
      <c r="M244" s="44">
        <v>720</v>
      </c>
      <c r="N244" s="45" t="s">
        <v>0</v>
      </c>
      <c r="O244" s="44" t="s">
        <v>0</v>
      </c>
      <c r="P244" s="253" t="s">
        <v>628</v>
      </c>
      <c r="Q244" s="44">
        <v>798</v>
      </c>
      <c r="R244" s="24">
        <f>Q244/M244</f>
        <v>1.1080000000000001</v>
      </c>
      <c r="S244" s="44"/>
    </row>
    <row r="245" spans="2:19" ht="31.5" x14ac:dyDescent="0.3">
      <c r="B245" s="209"/>
      <c r="C245" s="220"/>
      <c r="D245" s="47" t="s">
        <v>10</v>
      </c>
      <c r="E245" s="87">
        <v>902</v>
      </c>
      <c r="F245" s="110" t="s">
        <v>291</v>
      </c>
      <c r="G245" s="110" t="s">
        <v>131</v>
      </c>
      <c r="H245" s="110" t="s">
        <v>292</v>
      </c>
      <c r="I245" s="107">
        <v>611</v>
      </c>
      <c r="J245" s="49" t="s">
        <v>4</v>
      </c>
      <c r="K245" s="107" t="s">
        <v>3</v>
      </c>
      <c r="L245" s="45">
        <v>667.5</v>
      </c>
      <c r="M245" s="45">
        <v>775.2</v>
      </c>
      <c r="N245" s="45">
        <v>775.2</v>
      </c>
      <c r="O245" s="24">
        <v>1</v>
      </c>
      <c r="P245" s="254"/>
      <c r="Q245" s="45">
        <v>775.2</v>
      </c>
      <c r="R245" s="24">
        <v>1</v>
      </c>
      <c r="S245" s="43"/>
    </row>
    <row r="246" spans="2:19" ht="43.5" customHeight="1" x14ac:dyDescent="0.3">
      <c r="B246" s="209" t="s">
        <v>530</v>
      </c>
      <c r="C246" s="220" t="s">
        <v>293</v>
      </c>
      <c r="D246" s="110" t="s">
        <v>13</v>
      </c>
      <c r="E246" s="199" t="s">
        <v>321</v>
      </c>
      <c r="F246" s="199"/>
      <c r="G246" s="199"/>
      <c r="H246" s="199"/>
      <c r="I246" s="199"/>
      <c r="J246" s="43" t="s">
        <v>289</v>
      </c>
      <c r="K246" s="107" t="s">
        <v>146</v>
      </c>
      <c r="L246" s="44">
        <v>7250</v>
      </c>
      <c r="M246" s="44">
        <v>12000</v>
      </c>
      <c r="N246" s="45" t="s">
        <v>0</v>
      </c>
      <c r="O246" s="44" t="s">
        <v>0</v>
      </c>
      <c r="P246" s="253" t="s">
        <v>628</v>
      </c>
      <c r="Q246" s="44">
        <v>12989</v>
      </c>
      <c r="R246" s="24">
        <f>Q246/M246</f>
        <v>1.0820000000000001</v>
      </c>
      <c r="S246" s="44"/>
    </row>
    <row r="247" spans="2:19" ht="31.5" x14ac:dyDescent="0.3">
      <c r="B247" s="209"/>
      <c r="C247" s="220"/>
      <c r="D247" s="47" t="s">
        <v>10</v>
      </c>
      <c r="E247" s="87">
        <v>902</v>
      </c>
      <c r="F247" s="110" t="s">
        <v>291</v>
      </c>
      <c r="G247" s="110" t="s">
        <v>131</v>
      </c>
      <c r="H247" s="110" t="s">
        <v>292</v>
      </c>
      <c r="I247" s="107">
        <v>611</v>
      </c>
      <c r="J247" s="49" t="s">
        <v>4</v>
      </c>
      <c r="K247" s="107" t="s">
        <v>3</v>
      </c>
      <c r="L247" s="45">
        <f>10865.6-1000.3</f>
        <v>9865.2999999999993</v>
      </c>
      <c r="M247" s="45">
        <v>12617.7</v>
      </c>
      <c r="N247" s="45">
        <f>M247</f>
        <v>12617.7</v>
      </c>
      <c r="O247" s="24">
        <v>1</v>
      </c>
      <c r="P247" s="254"/>
      <c r="Q247" s="45">
        <f>N247</f>
        <v>12617.7</v>
      </c>
      <c r="R247" s="24">
        <v>1</v>
      </c>
      <c r="S247" s="43"/>
    </row>
    <row r="248" spans="2:19" ht="43.5" customHeight="1" x14ac:dyDescent="0.3">
      <c r="B248" s="209" t="s">
        <v>531</v>
      </c>
      <c r="C248" s="220" t="s">
        <v>293</v>
      </c>
      <c r="D248" s="110" t="s">
        <v>13</v>
      </c>
      <c r="E248" s="199" t="s">
        <v>320</v>
      </c>
      <c r="F248" s="199"/>
      <c r="G248" s="199"/>
      <c r="H248" s="199"/>
      <c r="I248" s="199"/>
      <c r="J248" s="43" t="s">
        <v>289</v>
      </c>
      <c r="K248" s="107" t="s">
        <v>146</v>
      </c>
      <c r="L248" s="44">
        <v>65</v>
      </c>
      <c r="M248" s="44">
        <v>290</v>
      </c>
      <c r="N248" s="45" t="s">
        <v>0</v>
      </c>
      <c r="O248" s="44" t="s">
        <v>0</v>
      </c>
      <c r="P248" s="253" t="s">
        <v>628</v>
      </c>
      <c r="Q248" s="44">
        <v>290</v>
      </c>
      <c r="R248" s="24">
        <f>Q248/M248</f>
        <v>1</v>
      </c>
      <c r="S248" s="44"/>
    </row>
    <row r="249" spans="2:19" ht="31.5" x14ac:dyDescent="0.3">
      <c r="B249" s="209"/>
      <c r="C249" s="220"/>
      <c r="D249" s="47" t="s">
        <v>10</v>
      </c>
      <c r="E249" s="87">
        <v>902</v>
      </c>
      <c r="F249" s="110" t="s">
        <v>291</v>
      </c>
      <c r="G249" s="110" t="s">
        <v>131</v>
      </c>
      <c r="H249" s="110" t="s">
        <v>292</v>
      </c>
      <c r="I249" s="107">
        <v>611</v>
      </c>
      <c r="J249" s="49" t="s">
        <v>4</v>
      </c>
      <c r="K249" s="107" t="s">
        <v>3</v>
      </c>
      <c r="L249" s="45">
        <v>242.6</v>
      </c>
      <c r="M249" s="45">
        <v>281.7</v>
      </c>
      <c r="N249" s="45">
        <f>M249</f>
        <v>281.7</v>
      </c>
      <c r="O249" s="24">
        <f>O247</f>
        <v>1</v>
      </c>
      <c r="P249" s="254"/>
      <c r="Q249" s="45">
        <f>N249</f>
        <v>281.7</v>
      </c>
      <c r="R249" s="24">
        <v>1</v>
      </c>
      <c r="S249" s="43"/>
    </row>
    <row r="250" spans="2:19" ht="40.5" customHeight="1" x14ac:dyDescent="0.3">
      <c r="B250" s="209" t="s">
        <v>532</v>
      </c>
      <c r="C250" s="220" t="s">
        <v>293</v>
      </c>
      <c r="D250" s="110" t="s">
        <v>13</v>
      </c>
      <c r="E250" s="199" t="s">
        <v>321</v>
      </c>
      <c r="F250" s="199"/>
      <c r="G250" s="199"/>
      <c r="H250" s="199"/>
      <c r="I250" s="199"/>
      <c r="J250" s="43" t="s">
        <v>289</v>
      </c>
      <c r="K250" s="107" t="s">
        <v>146</v>
      </c>
      <c r="L250" s="44">
        <v>260</v>
      </c>
      <c r="M250" s="44">
        <v>1900</v>
      </c>
      <c r="N250" s="45" t="s">
        <v>0</v>
      </c>
      <c r="O250" s="44" t="s">
        <v>0</v>
      </c>
      <c r="P250" s="253" t="s">
        <v>628</v>
      </c>
      <c r="Q250" s="44">
        <v>1926</v>
      </c>
      <c r="R250" s="24">
        <f>Q250/M250</f>
        <v>1.014</v>
      </c>
      <c r="S250" s="44"/>
    </row>
    <row r="251" spans="2:19" ht="31.5" x14ac:dyDescent="0.3">
      <c r="B251" s="209"/>
      <c r="C251" s="220"/>
      <c r="D251" s="47" t="s">
        <v>10</v>
      </c>
      <c r="E251" s="87">
        <v>902</v>
      </c>
      <c r="F251" s="110" t="s">
        <v>291</v>
      </c>
      <c r="G251" s="110" t="s">
        <v>131</v>
      </c>
      <c r="H251" s="110" t="s">
        <v>292</v>
      </c>
      <c r="I251" s="107">
        <v>611</v>
      </c>
      <c r="J251" s="49" t="s">
        <v>4</v>
      </c>
      <c r="K251" s="107" t="s">
        <v>3</v>
      </c>
      <c r="L251" s="45">
        <v>1611.4</v>
      </c>
      <c r="M251" s="45">
        <v>1871</v>
      </c>
      <c r="N251" s="45">
        <f>M251</f>
        <v>1871</v>
      </c>
      <c r="O251" s="24">
        <f>O249</f>
        <v>1</v>
      </c>
      <c r="P251" s="254"/>
      <c r="Q251" s="45">
        <f>N251</f>
        <v>1871</v>
      </c>
      <c r="R251" s="24">
        <v>1</v>
      </c>
      <c r="S251" s="43"/>
    </row>
    <row r="252" spans="2:19" ht="34.5" customHeight="1" x14ac:dyDescent="0.3">
      <c r="B252" s="209" t="s">
        <v>533</v>
      </c>
      <c r="C252" s="220" t="s">
        <v>293</v>
      </c>
      <c r="D252" s="110" t="s">
        <v>13</v>
      </c>
      <c r="E252" s="199" t="s">
        <v>320</v>
      </c>
      <c r="F252" s="199"/>
      <c r="G252" s="199"/>
      <c r="H252" s="199"/>
      <c r="I252" s="199"/>
      <c r="J252" s="43" t="s">
        <v>289</v>
      </c>
      <c r="K252" s="107" t="s">
        <v>146</v>
      </c>
      <c r="L252" s="44">
        <v>230</v>
      </c>
      <c r="M252" s="44">
        <v>12900</v>
      </c>
      <c r="N252" s="45" t="s">
        <v>0</v>
      </c>
      <c r="O252" s="44" t="s">
        <v>0</v>
      </c>
      <c r="P252" s="253" t="s">
        <v>628</v>
      </c>
      <c r="Q252" s="44">
        <v>14093</v>
      </c>
      <c r="R252" s="24">
        <f>Q252/M252</f>
        <v>1.0920000000000001</v>
      </c>
      <c r="S252" s="44"/>
    </row>
    <row r="253" spans="2:19" ht="31.5" x14ac:dyDescent="0.3">
      <c r="B253" s="209"/>
      <c r="C253" s="220"/>
      <c r="D253" s="47" t="s">
        <v>10</v>
      </c>
      <c r="E253" s="87">
        <v>902</v>
      </c>
      <c r="F253" s="110" t="s">
        <v>291</v>
      </c>
      <c r="G253" s="110" t="s">
        <v>131</v>
      </c>
      <c r="H253" s="110" t="s">
        <v>292</v>
      </c>
      <c r="I253" s="107">
        <v>611</v>
      </c>
      <c r="J253" s="49" t="s">
        <v>4</v>
      </c>
      <c r="K253" s="107" t="s">
        <v>3</v>
      </c>
      <c r="L253" s="45">
        <v>11789.1</v>
      </c>
      <c r="M253" s="45">
        <v>13690.2</v>
      </c>
      <c r="N253" s="45">
        <f>M253</f>
        <v>13690.2</v>
      </c>
      <c r="O253" s="24">
        <f>O251</f>
        <v>1</v>
      </c>
      <c r="P253" s="254"/>
      <c r="Q253" s="45">
        <f>N253</f>
        <v>13690.2</v>
      </c>
      <c r="R253" s="24">
        <v>1</v>
      </c>
      <c r="S253" s="43"/>
    </row>
    <row r="254" spans="2:19" ht="40.5" customHeight="1" x14ac:dyDescent="0.3">
      <c r="B254" s="209" t="s">
        <v>534</v>
      </c>
      <c r="C254" s="220" t="s">
        <v>293</v>
      </c>
      <c r="D254" s="110" t="s">
        <v>13</v>
      </c>
      <c r="E254" s="199" t="s">
        <v>321</v>
      </c>
      <c r="F254" s="199"/>
      <c r="G254" s="199"/>
      <c r="H254" s="199"/>
      <c r="I254" s="199"/>
      <c r="J254" s="43" t="s">
        <v>289</v>
      </c>
      <c r="K254" s="107" t="s">
        <v>146</v>
      </c>
      <c r="L254" s="44">
        <v>980</v>
      </c>
      <c r="M254" s="44">
        <v>1280</v>
      </c>
      <c r="N254" s="45" t="s">
        <v>0</v>
      </c>
      <c r="O254" s="44" t="s">
        <v>0</v>
      </c>
      <c r="P254" s="253" t="s">
        <v>628</v>
      </c>
      <c r="Q254" s="44">
        <v>1280</v>
      </c>
      <c r="R254" s="24">
        <f>Q254/M254</f>
        <v>1</v>
      </c>
      <c r="S254" s="44"/>
    </row>
    <row r="255" spans="2:19" ht="31.5" x14ac:dyDescent="0.3">
      <c r="B255" s="209"/>
      <c r="C255" s="220"/>
      <c r="D255" s="47" t="s">
        <v>10</v>
      </c>
      <c r="E255" s="87">
        <v>902</v>
      </c>
      <c r="F255" s="110" t="s">
        <v>291</v>
      </c>
      <c r="G255" s="110" t="s">
        <v>131</v>
      </c>
      <c r="H255" s="110" t="s">
        <v>292</v>
      </c>
      <c r="I255" s="107">
        <v>611</v>
      </c>
      <c r="J255" s="49" t="s">
        <v>4</v>
      </c>
      <c r="K255" s="107" t="s">
        <v>3</v>
      </c>
      <c r="L255" s="45">
        <v>1070.7</v>
      </c>
      <c r="M255" s="45">
        <v>1243.4000000000001</v>
      </c>
      <c r="N255" s="45">
        <f>M255</f>
        <v>1243.4000000000001</v>
      </c>
      <c r="O255" s="24">
        <f>O253</f>
        <v>1</v>
      </c>
      <c r="P255" s="254"/>
      <c r="Q255" s="45">
        <f>N255</f>
        <v>1243.4000000000001</v>
      </c>
      <c r="R255" s="24">
        <v>1</v>
      </c>
      <c r="S255" s="43"/>
    </row>
    <row r="256" spans="2:19" ht="39" customHeight="1" x14ac:dyDescent="0.3">
      <c r="B256" s="209" t="s">
        <v>535</v>
      </c>
      <c r="C256" s="197" t="s">
        <v>294</v>
      </c>
      <c r="D256" s="110" t="s">
        <v>13</v>
      </c>
      <c r="E256" s="199" t="s">
        <v>322</v>
      </c>
      <c r="F256" s="199"/>
      <c r="G256" s="199"/>
      <c r="H256" s="199"/>
      <c r="I256" s="199"/>
      <c r="J256" s="49" t="s">
        <v>295</v>
      </c>
      <c r="K256" s="107" t="s">
        <v>146</v>
      </c>
      <c r="L256" s="44">
        <v>89100</v>
      </c>
      <c r="M256" s="44">
        <v>111000</v>
      </c>
      <c r="N256" s="45" t="s">
        <v>0</v>
      </c>
      <c r="O256" s="44" t="s">
        <v>0</v>
      </c>
      <c r="P256" s="253" t="s">
        <v>628</v>
      </c>
      <c r="Q256" s="44">
        <v>136112</v>
      </c>
      <c r="R256" s="24">
        <f>Q256/M256</f>
        <v>1.226</v>
      </c>
      <c r="S256" s="44" t="s">
        <v>635</v>
      </c>
    </row>
    <row r="257" spans="2:19" ht="31.5" x14ac:dyDescent="0.3">
      <c r="B257" s="209"/>
      <c r="C257" s="197"/>
      <c r="D257" s="110" t="s">
        <v>10</v>
      </c>
      <c r="E257" s="110" t="s">
        <v>290</v>
      </c>
      <c r="F257" s="110" t="s">
        <v>291</v>
      </c>
      <c r="G257" s="110" t="s">
        <v>131</v>
      </c>
      <c r="H257" s="110" t="s">
        <v>296</v>
      </c>
      <c r="I257" s="110" t="s">
        <v>5</v>
      </c>
      <c r="J257" s="49" t="s">
        <v>4</v>
      </c>
      <c r="K257" s="107" t="s">
        <v>3</v>
      </c>
      <c r="L257" s="50">
        <v>33248.699999999997</v>
      </c>
      <c r="M257" s="50">
        <v>35434.699999999997</v>
      </c>
      <c r="N257" s="50">
        <f>M257</f>
        <v>35434.699999999997</v>
      </c>
      <c r="O257" s="24">
        <v>1</v>
      </c>
      <c r="P257" s="254"/>
      <c r="Q257" s="45">
        <f>N257</f>
        <v>35434.699999999997</v>
      </c>
      <c r="R257" s="24">
        <v>1</v>
      </c>
      <c r="S257" s="48"/>
    </row>
    <row r="258" spans="2:19" ht="44.25" customHeight="1" x14ac:dyDescent="0.3">
      <c r="B258" s="209" t="s">
        <v>536</v>
      </c>
      <c r="C258" s="197" t="s">
        <v>294</v>
      </c>
      <c r="D258" s="110" t="s">
        <v>13</v>
      </c>
      <c r="E258" s="199" t="s">
        <v>321</v>
      </c>
      <c r="F258" s="199"/>
      <c r="G258" s="199"/>
      <c r="H258" s="199"/>
      <c r="I258" s="199"/>
      <c r="J258" s="49" t="s">
        <v>295</v>
      </c>
      <c r="K258" s="107" t="s">
        <v>146</v>
      </c>
      <c r="L258" s="44">
        <v>26000</v>
      </c>
      <c r="M258" s="44">
        <v>38000</v>
      </c>
      <c r="N258" s="45" t="s">
        <v>0</v>
      </c>
      <c r="O258" s="44" t="s">
        <v>0</v>
      </c>
      <c r="P258" s="253" t="s">
        <v>628</v>
      </c>
      <c r="Q258" s="44">
        <v>52967</v>
      </c>
      <c r="R258" s="24">
        <f>Q258/M258</f>
        <v>1.3939999999999999</v>
      </c>
      <c r="S258" s="44" t="s">
        <v>635</v>
      </c>
    </row>
    <row r="259" spans="2:19" ht="31.5" x14ac:dyDescent="0.3">
      <c r="B259" s="209"/>
      <c r="C259" s="197"/>
      <c r="D259" s="110" t="s">
        <v>10</v>
      </c>
      <c r="E259" s="110" t="s">
        <v>290</v>
      </c>
      <c r="F259" s="110" t="s">
        <v>291</v>
      </c>
      <c r="G259" s="110" t="s">
        <v>131</v>
      </c>
      <c r="H259" s="110" t="s">
        <v>296</v>
      </c>
      <c r="I259" s="110" t="s">
        <v>5</v>
      </c>
      <c r="J259" s="49" t="s">
        <v>4</v>
      </c>
      <c r="K259" s="107" t="s">
        <v>3</v>
      </c>
      <c r="L259" s="50">
        <v>13991.9</v>
      </c>
      <c r="M259" s="50">
        <v>15220.3</v>
      </c>
      <c r="N259" s="50">
        <f>M259</f>
        <v>15220.3</v>
      </c>
      <c r="O259" s="24">
        <v>1</v>
      </c>
      <c r="P259" s="254"/>
      <c r="Q259" s="45">
        <f>N259</f>
        <v>15220.3</v>
      </c>
      <c r="R259" s="24">
        <v>1</v>
      </c>
      <c r="S259" s="48"/>
    </row>
    <row r="260" spans="2:19" ht="40.5" customHeight="1" x14ac:dyDescent="0.3">
      <c r="B260" s="209" t="s">
        <v>537</v>
      </c>
      <c r="C260" s="197" t="s">
        <v>299</v>
      </c>
      <c r="D260" s="110" t="s">
        <v>13</v>
      </c>
      <c r="E260" s="199" t="s">
        <v>323</v>
      </c>
      <c r="F260" s="199"/>
      <c r="G260" s="199"/>
      <c r="H260" s="199"/>
      <c r="I260" s="199"/>
      <c r="J260" s="49" t="s">
        <v>300</v>
      </c>
      <c r="K260" s="107" t="s">
        <v>146</v>
      </c>
      <c r="L260" s="50">
        <v>46500</v>
      </c>
      <c r="M260" s="50">
        <v>54000</v>
      </c>
      <c r="N260" s="45" t="s">
        <v>0</v>
      </c>
      <c r="O260" s="44" t="s">
        <v>0</v>
      </c>
      <c r="P260" s="253" t="s">
        <v>628</v>
      </c>
      <c r="Q260" s="45">
        <v>51527</v>
      </c>
      <c r="R260" s="24">
        <f>Q260/M260</f>
        <v>0.95399999999999996</v>
      </c>
      <c r="S260" s="44"/>
    </row>
    <row r="261" spans="2:19" ht="31.5" x14ac:dyDescent="0.3">
      <c r="B261" s="209"/>
      <c r="C261" s="197"/>
      <c r="D261" s="110" t="s">
        <v>10</v>
      </c>
      <c r="E261" s="110" t="s">
        <v>290</v>
      </c>
      <c r="F261" s="110" t="s">
        <v>291</v>
      </c>
      <c r="G261" s="110" t="s">
        <v>131</v>
      </c>
      <c r="H261" s="110" t="s">
        <v>301</v>
      </c>
      <c r="I261" s="110" t="s">
        <v>5</v>
      </c>
      <c r="J261" s="49" t="s">
        <v>4</v>
      </c>
      <c r="K261" s="107" t="s">
        <v>3</v>
      </c>
      <c r="L261" s="50">
        <v>54423.8</v>
      </c>
      <c r="M261" s="50">
        <v>56609</v>
      </c>
      <c r="N261" s="50">
        <f>M261</f>
        <v>56609</v>
      </c>
      <c r="O261" s="24">
        <v>1</v>
      </c>
      <c r="P261" s="254"/>
      <c r="Q261" s="45">
        <f>N261</f>
        <v>56609</v>
      </c>
      <c r="R261" s="24">
        <v>1</v>
      </c>
      <c r="S261" s="48"/>
    </row>
    <row r="262" spans="2:19" ht="42" customHeight="1" x14ac:dyDescent="0.3">
      <c r="B262" s="209" t="s">
        <v>538</v>
      </c>
      <c r="C262" s="197" t="s">
        <v>299</v>
      </c>
      <c r="D262" s="110" t="s">
        <v>13</v>
      </c>
      <c r="E262" s="199" t="s">
        <v>324</v>
      </c>
      <c r="F262" s="199"/>
      <c r="G262" s="199"/>
      <c r="H262" s="199"/>
      <c r="I262" s="199"/>
      <c r="J262" s="49" t="s">
        <v>300</v>
      </c>
      <c r="K262" s="107" t="s">
        <v>146</v>
      </c>
      <c r="L262" s="50">
        <v>10000</v>
      </c>
      <c r="M262" s="50">
        <v>10000</v>
      </c>
      <c r="N262" s="45" t="s">
        <v>0</v>
      </c>
      <c r="O262" s="44" t="s">
        <v>0</v>
      </c>
      <c r="P262" s="253" t="s">
        <v>628</v>
      </c>
      <c r="Q262" s="45">
        <v>14893</v>
      </c>
      <c r="R262" s="24">
        <f>Q262/M262</f>
        <v>1.4890000000000001</v>
      </c>
      <c r="S262" s="44" t="s">
        <v>635</v>
      </c>
    </row>
    <row r="263" spans="2:19" ht="31.5" x14ac:dyDescent="0.3">
      <c r="B263" s="209"/>
      <c r="C263" s="197"/>
      <c r="D263" s="110" t="s">
        <v>10</v>
      </c>
      <c r="E263" s="110" t="s">
        <v>290</v>
      </c>
      <c r="F263" s="110" t="s">
        <v>291</v>
      </c>
      <c r="G263" s="110" t="s">
        <v>131</v>
      </c>
      <c r="H263" s="110" t="s">
        <v>301</v>
      </c>
      <c r="I263" s="110" t="s">
        <v>5</v>
      </c>
      <c r="J263" s="49" t="s">
        <v>4</v>
      </c>
      <c r="K263" s="107" t="s">
        <v>3</v>
      </c>
      <c r="L263" s="50">
        <v>15730.3</v>
      </c>
      <c r="M263" s="50">
        <v>16361.9</v>
      </c>
      <c r="N263" s="50">
        <f>M263</f>
        <v>16361.9</v>
      </c>
      <c r="O263" s="24">
        <v>1</v>
      </c>
      <c r="P263" s="254"/>
      <c r="Q263" s="45">
        <f>N263</f>
        <v>16361.9</v>
      </c>
      <c r="R263" s="24">
        <v>1</v>
      </c>
      <c r="S263" s="48"/>
    </row>
    <row r="264" spans="2:19" ht="39.75" customHeight="1" x14ac:dyDescent="0.3">
      <c r="B264" s="209" t="s">
        <v>539</v>
      </c>
      <c r="C264" s="197" t="s">
        <v>299</v>
      </c>
      <c r="D264" s="110" t="s">
        <v>13</v>
      </c>
      <c r="E264" s="199" t="s">
        <v>324</v>
      </c>
      <c r="F264" s="199"/>
      <c r="G264" s="199"/>
      <c r="H264" s="199"/>
      <c r="I264" s="199"/>
      <c r="J264" s="49" t="s">
        <v>300</v>
      </c>
      <c r="K264" s="107" t="s">
        <v>146</v>
      </c>
      <c r="L264" s="50">
        <v>2500</v>
      </c>
      <c r="M264" s="50">
        <v>2500</v>
      </c>
      <c r="N264" s="45" t="s">
        <v>0</v>
      </c>
      <c r="O264" s="44" t="s">
        <v>0</v>
      </c>
      <c r="P264" s="253" t="s">
        <v>628</v>
      </c>
      <c r="Q264" s="45">
        <v>2500</v>
      </c>
      <c r="R264" s="24">
        <f>Q264/M264</f>
        <v>1</v>
      </c>
      <c r="S264" s="44"/>
    </row>
    <row r="265" spans="2:19" ht="31.5" x14ac:dyDescent="0.3">
      <c r="B265" s="209"/>
      <c r="C265" s="197"/>
      <c r="D265" s="110" t="s">
        <v>10</v>
      </c>
      <c r="E265" s="110" t="s">
        <v>290</v>
      </c>
      <c r="F265" s="110" t="s">
        <v>291</v>
      </c>
      <c r="G265" s="110" t="s">
        <v>131</v>
      </c>
      <c r="H265" s="110" t="s">
        <v>301</v>
      </c>
      <c r="I265" s="110" t="s">
        <v>5</v>
      </c>
      <c r="J265" s="49" t="s">
        <v>4</v>
      </c>
      <c r="K265" s="107" t="s">
        <v>3</v>
      </c>
      <c r="L265" s="50">
        <v>2640.5</v>
      </c>
      <c r="M265" s="50">
        <v>2746.6</v>
      </c>
      <c r="N265" s="50">
        <f>M265</f>
        <v>2746.6</v>
      </c>
      <c r="O265" s="24">
        <v>1</v>
      </c>
      <c r="P265" s="254"/>
      <c r="Q265" s="45">
        <f>N265</f>
        <v>2746.6</v>
      </c>
      <c r="R265" s="24">
        <v>1</v>
      </c>
      <c r="S265" s="48"/>
    </row>
    <row r="266" spans="2:19" ht="31.5" x14ac:dyDescent="0.3">
      <c r="B266" s="209" t="s">
        <v>540</v>
      </c>
      <c r="C266" s="197" t="s">
        <v>303</v>
      </c>
      <c r="D266" s="110" t="s">
        <v>13</v>
      </c>
      <c r="E266" s="199" t="s">
        <v>325</v>
      </c>
      <c r="F266" s="199"/>
      <c r="G266" s="199"/>
      <c r="H266" s="199"/>
      <c r="I266" s="199"/>
      <c r="J266" s="49" t="s">
        <v>650</v>
      </c>
      <c r="K266" s="107" t="s">
        <v>67</v>
      </c>
      <c r="L266" s="50">
        <v>40</v>
      </c>
      <c r="M266" s="50">
        <v>40</v>
      </c>
      <c r="N266" s="45" t="s">
        <v>0</v>
      </c>
      <c r="O266" s="44" t="s">
        <v>0</v>
      </c>
      <c r="P266" s="107"/>
      <c r="Q266" s="45">
        <v>40</v>
      </c>
      <c r="R266" s="24">
        <v>1</v>
      </c>
      <c r="S266" s="48"/>
    </row>
    <row r="267" spans="2:19" ht="31.5" x14ac:dyDescent="0.3">
      <c r="B267" s="209"/>
      <c r="C267" s="197"/>
      <c r="D267" s="110" t="s">
        <v>10</v>
      </c>
      <c r="E267" s="110" t="s">
        <v>290</v>
      </c>
      <c r="F267" s="110" t="s">
        <v>291</v>
      </c>
      <c r="G267" s="110" t="s">
        <v>131</v>
      </c>
      <c r="H267" s="110" t="s">
        <v>292</v>
      </c>
      <c r="I267" s="110" t="s">
        <v>5</v>
      </c>
      <c r="J267" s="49" t="s">
        <v>4</v>
      </c>
      <c r="K267" s="107" t="s">
        <v>3</v>
      </c>
      <c r="L267" s="50">
        <f>12222.1-L269</f>
        <v>11822.1</v>
      </c>
      <c r="M267" s="50">
        <f>13763.9-M269</f>
        <v>13363.9</v>
      </c>
      <c r="N267" s="50">
        <f>M267</f>
        <v>13363.9</v>
      </c>
      <c r="O267" s="24">
        <v>1</v>
      </c>
      <c r="P267" s="107"/>
      <c r="Q267" s="45">
        <f>N267</f>
        <v>13363.9</v>
      </c>
      <c r="R267" s="24">
        <v>1</v>
      </c>
      <c r="S267" s="48"/>
    </row>
    <row r="268" spans="2:19" ht="31.5" x14ac:dyDescent="0.3">
      <c r="B268" s="209" t="s">
        <v>541</v>
      </c>
      <c r="C268" s="197" t="s">
        <v>304</v>
      </c>
      <c r="D268" s="110" t="s">
        <v>13</v>
      </c>
      <c r="E268" s="196" t="s">
        <v>326</v>
      </c>
      <c r="F268" s="196"/>
      <c r="G268" s="196"/>
      <c r="H268" s="196"/>
      <c r="I268" s="196"/>
      <c r="J268" s="49" t="s">
        <v>305</v>
      </c>
      <c r="K268" s="107" t="s">
        <v>67</v>
      </c>
      <c r="L268" s="50">
        <v>4</v>
      </c>
      <c r="M268" s="50">
        <v>4</v>
      </c>
      <c r="N268" s="45" t="s">
        <v>0</v>
      </c>
      <c r="O268" s="44" t="s">
        <v>0</v>
      </c>
      <c r="P268" s="107"/>
      <c r="Q268" s="45">
        <v>4</v>
      </c>
      <c r="R268" s="24">
        <v>1</v>
      </c>
      <c r="S268" s="48"/>
    </row>
    <row r="269" spans="2:19" ht="31.5" x14ac:dyDescent="0.3">
      <c r="B269" s="209"/>
      <c r="C269" s="197"/>
      <c r="D269" s="110" t="s">
        <v>10</v>
      </c>
      <c r="E269" s="110" t="s">
        <v>290</v>
      </c>
      <c r="F269" s="110" t="s">
        <v>291</v>
      </c>
      <c r="G269" s="110" t="s">
        <v>131</v>
      </c>
      <c r="H269" s="110" t="s">
        <v>292</v>
      </c>
      <c r="I269" s="110" t="s">
        <v>5</v>
      </c>
      <c r="J269" s="49" t="s">
        <v>4</v>
      </c>
      <c r="K269" s="107" t="s">
        <v>3</v>
      </c>
      <c r="L269" s="50">
        <v>400</v>
      </c>
      <c r="M269" s="50">
        <v>400</v>
      </c>
      <c r="N269" s="50">
        <v>400</v>
      </c>
      <c r="O269" s="24">
        <v>1</v>
      </c>
      <c r="P269" s="107"/>
      <c r="Q269" s="45">
        <v>400</v>
      </c>
      <c r="R269" s="24">
        <v>1</v>
      </c>
      <c r="S269" s="48"/>
    </row>
    <row r="270" spans="2:19" ht="31.5" x14ac:dyDescent="0.3">
      <c r="B270" s="209" t="s">
        <v>542</v>
      </c>
      <c r="C270" s="197" t="s">
        <v>308</v>
      </c>
      <c r="D270" s="110" t="s">
        <v>13</v>
      </c>
      <c r="E270" s="196" t="s">
        <v>327</v>
      </c>
      <c r="F270" s="196"/>
      <c r="G270" s="196"/>
      <c r="H270" s="196"/>
      <c r="I270" s="196"/>
      <c r="J270" s="49" t="s">
        <v>309</v>
      </c>
      <c r="K270" s="107" t="s">
        <v>67</v>
      </c>
      <c r="L270" s="50">
        <v>1</v>
      </c>
      <c r="M270" s="50">
        <v>1</v>
      </c>
      <c r="N270" s="45" t="s">
        <v>0</v>
      </c>
      <c r="O270" s="44" t="s">
        <v>0</v>
      </c>
      <c r="P270" s="107"/>
      <c r="Q270" s="45">
        <v>1</v>
      </c>
      <c r="R270" s="24">
        <v>1</v>
      </c>
      <c r="S270" s="48"/>
    </row>
    <row r="271" spans="2:19" ht="31.5" x14ac:dyDescent="0.3">
      <c r="B271" s="209"/>
      <c r="C271" s="197"/>
      <c r="D271" s="110" t="s">
        <v>10</v>
      </c>
      <c r="E271" s="110" t="s">
        <v>290</v>
      </c>
      <c r="F271" s="110" t="s">
        <v>291</v>
      </c>
      <c r="G271" s="110" t="s">
        <v>131</v>
      </c>
      <c r="H271" s="110" t="s">
        <v>310</v>
      </c>
      <c r="I271" s="110" t="s">
        <v>150</v>
      </c>
      <c r="J271" s="49" t="s">
        <v>4</v>
      </c>
      <c r="K271" s="107" t="s">
        <v>3</v>
      </c>
      <c r="L271" s="50">
        <v>43362</v>
      </c>
      <c r="M271" s="50">
        <v>45714.9</v>
      </c>
      <c r="N271" s="50">
        <f>M271</f>
        <v>45714.9</v>
      </c>
      <c r="O271" s="24">
        <v>1</v>
      </c>
      <c r="P271" s="107"/>
      <c r="Q271" s="45">
        <f>N271</f>
        <v>45714.9</v>
      </c>
      <c r="R271" s="24">
        <v>1</v>
      </c>
      <c r="S271" s="48"/>
    </row>
    <row r="272" spans="2:19" x14ac:dyDescent="0.3">
      <c r="B272" s="54"/>
      <c r="C272" s="51" t="s">
        <v>1</v>
      </c>
      <c r="D272" s="54"/>
      <c r="E272" s="54"/>
      <c r="F272" s="54"/>
      <c r="G272" s="54"/>
      <c r="H272" s="54"/>
      <c r="I272" s="54"/>
      <c r="J272" s="54"/>
      <c r="K272" s="54"/>
      <c r="L272" s="95">
        <f>L271+L269+L267+L265+L263+L261+L259+L257+L255+L253+L251+L249+L247+L245+L243+L241</f>
        <v>233501.3</v>
      </c>
      <c r="M272" s="95">
        <f>M271+M269+M267+M265+M263+M261+M259+M257+M255+M253+M251+M249+M247+M245+M243+M241</f>
        <v>251092.8</v>
      </c>
      <c r="N272" s="95">
        <f>N271+N269+N267+N265+N263+N261+N259+N257+N255+N253+N251+N249+N247+N245+N243+N241</f>
        <v>251092.8</v>
      </c>
      <c r="O272" s="24">
        <v>1</v>
      </c>
      <c r="P272" s="95"/>
      <c r="Q272" s="95">
        <f>Q271+Q269+Q267+Q265+Q263+Q261+Q259+Q257+Q255+Q253+Q251+Q249+Q247+Q245+Q243+Q241</f>
        <v>251092.8</v>
      </c>
      <c r="R272" s="54"/>
      <c r="S272" s="48"/>
    </row>
    <row r="273" spans="2:19" ht="31.5" x14ac:dyDescent="0.3">
      <c r="B273" s="209" t="s">
        <v>543</v>
      </c>
      <c r="C273" s="214" t="s">
        <v>331</v>
      </c>
      <c r="D273" s="110" t="s">
        <v>13</v>
      </c>
      <c r="E273" s="199"/>
      <c r="F273" s="199"/>
      <c r="G273" s="199"/>
      <c r="H273" s="199"/>
      <c r="I273" s="199"/>
      <c r="J273" s="49" t="s">
        <v>330</v>
      </c>
      <c r="K273" s="107" t="s">
        <v>67</v>
      </c>
      <c r="L273" s="50">
        <v>1617</v>
      </c>
      <c r="M273" s="50">
        <v>1617</v>
      </c>
      <c r="N273" s="45" t="s">
        <v>0</v>
      </c>
      <c r="O273" s="44" t="s">
        <v>0</v>
      </c>
      <c r="P273" s="107"/>
      <c r="Q273" s="45">
        <v>1617</v>
      </c>
      <c r="R273" s="24">
        <v>1</v>
      </c>
      <c r="S273" s="48"/>
    </row>
    <row r="274" spans="2:19" ht="31.5" x14ac:dyDescent="0.3">
      <c r="B274" s="209"/>
      <c r="C274" s="214"/>
      <c r="D274" s="110" t="s">
        <v>10</v>
      </c>
      <c r="E274" s="110" t="s">
        <v>328</v>
      </c>
      <c r="F274" s="110" t="s">
        <v>100</v>
      </c>
      <c r="G274" s="110" t="s">
        <v>149</v>
      </c>
      <c r="H274" s="110" t="s">
        <v>329</v>
      </c>
      <c r="I274" s="110" t="s">
        <v>150</v>
      </c>
      <c r="J274" s="49" t="s">
        <v>4</v>
      </c>
      <c r="K274" s="107" t="s">
        <v>3</v>
      </c>
      <c r="L274" s="50">
        <v>19884.5</v>
      </c>
      <c r="M274" s="50">
        <v>20288.5</v>
      </c>
      <c r="N274" s="50">
        <f>M274</f>
        <v>20288.5</v>
      </c>
      <c r="O274" s="24">
        <v>1</v>
      </c>
      <c r="P274" s="107"/>
      <c r="Q274" s="45">
        <f>N274</f>
        <v>20288.5</v>
      </c>
      <c r="R274" s="24">
        <v>1</v>
      </c>
      <c r="S274" s="48"/>
    </row>
    <row r="275" spans="2:19" x14ac:dyDescent="0.3">
      <c r="B275" s="54"/>
      <c r="C275" s="51" t="s">
        <v>1</v>
      </c>
      <c r="D275" s="54"/>
      <c r="E275" s="54"/>
      <c r="F275" s="54"/>
      <c r="G275" s="54"/>
      <c r="H275" s="54"/>
      <c r="I275" s="54"/>
      <c r="J275" s="54"/>
      <c r="K275" s="54"/>
      <c r="L275" s="95">
        <f>L274</f>
        <v>19884.5</v>
      </c>
      <c r="M275" s="95">
        <f t="shared" ref="M275:Q275" si="63">M274</f>
        <v>20288.5</v>
      </c>
      <c r="N275" s="95">
        <f t="shared" si="63"/>
        <v>20288.5</v>
      </c>
      <c r="O275" s="24">
        <v>1</v>
      </c>
      <c r="P275" s="95"/>
      <c r="Q275" s="95">
        <f t="shared" si="63"/>
        <v>20288.5</v>
      </c>
      <c r="R275" s="24">
        <v>1</v>
      </c>
      <c r="S275" s="48"/>
    </row>
    <row r="276" spans="2:19" x14ac:dyDescent="0.3">
      <c r="B276" s="77"/>
      <c r="C276" s="78" t="s">
        <v>2</v>
      </c>
      <c r="D276" s="79"/>
      <c r="E276" s="79"/>
      <c r="F276" s="79"/>
      <c r="G276" s="79"/>
      <c r="H276" s="79"/>
      <c r="I276" s="79"/>
      <c r="J276" s="80"/>
      <c r="K276" s="81"/>
      <c r="L276" s="96">
        <f>L275+L272</f>
        <v>253385.8</v>
      </c>
      <c r="M276" s="96">
        <f t="shared" ref="M276:Q276" si="64">M275+M272</f>
        <v>271381.3</v>
      </c>
      <c r="N276" s="96">
        <f t="shared" si="64"/>
        <v>271381.3</v>
      </c>
      <c r="O276" s="132">
        <v>1</v>
      </c>
      <c r="P276" s="96"/>
      <c r="Q276" s="96">
        <f t="shared" si="64"/>
        <v>271381.3</v>
      </c>
      <c r="R276" s="132">
        <v>1</v>
      </c>
      <c r="S276" s="15"/>
    </row>
    <row r="277" spans="2:19" ht="33.75" customHeight="1" x14ac:dyDescent="0.3">
      <c r="B277" s="109" t="s">
        <v>368</v>
      </c>
      <c r="C277" s="205" t="s">
        <v>376</v>
      </c>
      <c r="D277" s="205"/>
      <c r="E277" s="205"/>
      <c r="F277" s="205"/>
      <c r="G277" s="205"/>
      <c r="H277" s="205"/>
      <c r="I277" s="205"/>
      <c r="J277" s="205"/>
      <c r="K277" s="205"/>
      <c r="L277" s="205"/>
      <c r="M277" s="205"/>
      <c r="N277" s="205"/>
      <c r="O277" s="205"/>
      <c r="P277" s="205"/>
      <c r="Q277" s="16"/>
      <c r="R277" s="18"/>
      <c r="S277" s="15"/>
    </row>
    <row r="278" spans="2:19" ht="31.5" x14ac:dyDescent="0.3">
      <c r="B278" s="209" t="s">
        <v>544</v>
      </c>
      <c r="C278" s="197" t="s">
        <v>334</v>
      </c>
      <c r="D278" s="110" t="s">
        <v>13</v>
      </c>
      <c r="E278" s="196" t="s">
        <v>335</v>
      </c>
      <c r="F278" s="196"/>
      <c r="G278" s="196"/>
      <c r="H278" s="196"/>
      <c r="I278" s="196"/>
      <c r="J278" s="49" t="s">
        <v>220</v>
      </c>
      <c r="K278" s="107" t="s">
        <v>200</v>
      </c>
      <c r="L278" s="114">
        <v>140616</v>
      </c>
      <c r="M278" s="114">
        <v>140616</v>
      </c>
      <c r="N278" s="45" t="s">
        <v>0</v>
      </c>
      <c r="O278" s="44" t="s">
        <v>0</v>
      </c>
      <c r="P278" s="107"/>
      <c r="Q278" s="114">
        <v>138466</v>
      </c>
      <c r="R278" s="24">
        <f>Q278/M278</f>
        <v>0.98499999999999999</v>
      </c>
      <c r="S278" s="48"/>
    </row>
    <row r="279" spans="2:19" ht="31.5" x14ac:dyDescent="0.3">
      <c r="B279" s="209"/>
      <c r="C279" s="197"/>
      <c r="D279" s="110" t="s">
        <v>10</v>
      </c>
      <c r="E279" s="52">
        <v>903</v>
      </c>
      <c r="F279" s="110" t="s">
        <v>197</v>
      </c>
      <c r="G279" s="110" t="s">
        <v>221</v>
      </c>
      <c r="H279" s="110" t="s">
        <v>336</v>
      </c>
      <c r="I279" s="52">
        <v>611</v>
      </c>
      <c r="J279" s="49" t="s">
        <v>4</v>
      </c>
      <c r="K279" s="107" t="s">
        <v>3</v>
      </c>
      <c r="L279" s="114">
        <v>17811.578000000001</v>
      </c>
      <c r="M279" s="114">
        <v>19932.3</v>
      </c>
      <c r="N279" s="114">
        <v>19932.3</v>
      </c>
      <c r="O279" s="24">
        <v>1</v>
      </c>
      <c r="P279" s="107"/>
      <c r="Q279" s="114">
        <v>19932.3</v>
      </c>
      <c r="R279" s="24">
        <f t="shared" ref="R279:R311" si="65">Q279/M279</f>
        <v>1</v>
      </c>
      <c r="S279" s="48"/>
    </row>
    <row r="280" spans="2:19" ht="63" x14ac:dyDescent="0.3">
      <c r="B280" s="209" t="s">
        <v>545</v>
      </c>
      <c r="C280" s="197" t="s">
        <v>337</v>
      </c>
      <c r="D280" s="110" t="s">
        <v>13</v>
      </c>
      <c r="E280" s="196" t="s">
        <v>338</v>
      </c>
      <c r="F280" s="196"/>
      <c r="G280" s="196"/>
      <c r="H280" s="196"/>
      <c r="I280" s="196"/>
      <c r="J280" s="49" t="s">
        <v>339</v>
      </c>
      <c r="K280" s="107" t="s">
        <v>340</v>
      </c>
      <c r="L280" s="114">
        <v>15</v>
      </c>
      <c r="M280" s="114">
        <v>15</v>
      </c>
      <c r="N280" s="45" t="s">
        <v>0</v>
      </c>
      <c r="O280" s="44" t="s">
        <v>0</v>
      </c>
      <c r="P280" s="107"/>
      <c r="Q280" s="45">
        <v>15</v>
      </c>
      <c r="R280" s="24">
        <f t="shared" si="65"/>
        <v>1</v>
      </c>
      <c r="S280" s="48"/>
    </row>
    <row r="281" spans="2:19" ht="31.5" x14ac:dyDescent="0.3">
      <c r="B281" s="209"/>
      <c r="C281" s="197"/>
      <c r="D281" s="110" t="s">
        <v>10</v>
      </c>
      <c r="E281" s="52">
        <v>903</v>
      </c>
      <c r="F281" s="110" t="s">
        <v>197</v>
      </c>
      <c r="G281" s="110" t="s">
        <v>221</v>
      </c>
      <c r="H281" s="110" t="s">
        <v>336</v>
      </c>
      <c r="I281" s="52">
        <v>611</v>
      </c>
      <c r="J281" s="49" t="s">
        <v>4</v>
      </c>
      <c r="K281" s="107" t="s">
        <v>3</v>
      </c>
      <c r="L281" s="50">
        <v>242.4</v>
      </c>
      <c r="M281" s="50">
        <v>287</v>
      </c>
      <c r="N281" s="50">
        <v>287</v>
      </c>
      <c r="O281" s="24">
        <v>1</v>
      </c>
      <c r="P281" s="107"/>
      <c r="Q281" s="45">
        <v>287</v>
      </c>
      <c r="R281" s="24">
        <f t="shared" si="65"/>
        <v>1</v>
      </c>
      <c r="S281" s="48"/>
    </row>
    <row r="282" spans="2:19" ht="31.5" x14ac:dyDescent="0.3">
      <c r="B282" s="209" t="s">
        <v>546</v>
      </c>
      <c r="C282" s="197" t="s">
        <v>341</v>
      </c>
      <c r="D282" s="110" t="s">
        <v>13</v>
      </c>
      <c r="E282" s="196" t="s">
        <v>205</v>
      </c>
      <c r="F282" s="196"/>
      <c r="G282" s="196"/>
      <c r="H282" s="196"/>
      <c r="I282" s="196"/>
      <c r="J282" s="49" t="s">
        <v>220</v>
      </c>
      <c r="K282" s="107" t="s">
        <v>200</v>
      </c>
      <c r="L282" s="114">
        <v>8976</v>
      </c>
      <c r="M282" s="114">
        <v>8976</v>
      </c>
      <c r="N282" s="45" t="s">
        <v>0</v>
      </c>
      <c r="O282" s="44" t="s">
        <v>0</v>
      </c>
      <c r="P282" s="107"/>
      <c r="Q282" s="114">
        <v>7786</v>
      </c>
      <c r="R282" s="24">
        <f t="shared" si="65"/>
        <v>0.86699999999999999</v>
      </c>
      <c r="S282" s="48"/>
    </row>
    <row r="283" spans="2:19" ht="31.5" x14ac:dyDescent="0.3">
      <c r="B283" s="209"/>
      <c r="C283" s="197"/>
      <c r="D283" s="110" t="s">
        <v>10</v>
      </c>
      <c r="E283" s="52">
        <v>903</v>
      </c>
      <c r="F283" s="110" t="s">
        <v>197</v>
      </c>
      <c r="G283" s="110" t="s">
        <v>221</v>
      </c>
      <c r="H283" s="110" t="s">
        <v>336</v>
      </c>
      <c r="I283" s="52">
        <v>611</v>
      </c>
      <c r="J283" s="49" t="s">
        <v>4</v>
      </c>
      <c r="K283" s="107" t="s">
        <v>3</v>
      </c>
      <c r="L283" s="114">
        <v>4663.8289999999997</v>
      </c>
      <c r="M283" s="114">
        <v>6222.1</v>
      </c>
      <c r="N283" s="114">
        <v>6222.1</v>
      </c>
      <c r="O283" s="24">
        <v>1</v>
      </c>
      <c r="P283" s="107"/>
      <c r="Q283" s="114">
        <v>6222.1</v>
      </c>
      <c r="R283" s="24">
        <f t="shared" si="65"/>
        <v>1</v>
      </c>
      <c r="S283" s="48"/>
    </row>
    <row r="284" spans="2:19" ht="63" x14ac:dyDescent="0.3">
      <c r="B284" s="209" t="s">
        <v>547</v>
      </c>
      <c r="C284" s="197" t="s">
        <v>342</v>
      </c>
      <c r="D284" s="110" t="s">
        <v>13</v>
      </c>
      <c r="E284" s="196" t="s">
        <v>343</v>
      </c>
      <c r="F284" s="196"/>
      <c r="G284" s="196"/>
      <c r="H284" s="196"/>
      <c r="I284" s="196"/>
      <c r="J284" s="49" t="s">
        <v>339</v>
      </c>
      <c r="K284" s="107" t="s">
        <v>146</v>
      </c>
      <c r="L284" s="114">
        <v>57</v>
      </c>
      <c r="M284" s="114">
        <v>57</v>
      </c>
      <c r="N284" s="45" t="s">
        <v>0</v>
      </c>
      <c r="O284" s="44" t="s">
        <v>0</v>
      </c>
      <c r="P284" s="107"/>
      <c r="Q284" s="114">
        <v>57</v>
      </c>
      <c r="R284" s="24">
        <f t="shared" si="65"/>
        <v>1</v>
      </c>
      <c r="S284" s="48"/>
    </row>
    <row r="285" spans="2:19" ht="31.5" x14ac:dyDescent="0.3">
      <c r="B285" s="209"/>
      <c r="C285" s="197"/>
      <c r="D285" s="110" t="s">
        <v>10</v>
      </c>
      <c r="E285" s="52">
        <v>903</v>
      </c>
      <c r="F285" s="110" t="s">
        <v>197</v>
      </c>
      <c r="G285" s="110" t="s">
        <v>221</v>
      </c>
      <c r="H285" s="110" t="s">
        <v>336</v>
      </c>
      <c r="I285" s="52">
        <v>611</v>
      </c>
      <c r="J285" s="49" t="s">
        <v>4</v>
      </c>
      <c r="K285" s="107" t="s">
        <v>3</v>
      </c>
      <c r="L285" s="114">
        <v>7629.1180000000004</v>
      </c>
      <c r="M285" s="114">
        <v>8839</v>
      </c>
      <c r="N285" s="114">
        <v>8839</v>
      </c>
      <c r="O285" s="24">
        <v>1</v>
      </c>
      <c r="P285" s="107"/>
      <c r="Q285" s="114">
        <v>8839</v>
      </c>
      <c r="R285" s="24">
        <f t="shared" si="65"/>
        <v>1</v>
      </c>
      <c r="S285" s="48"/>
    </row>
    <row r="286" spans="2:19" ht="110.25" x14ac:dyDescent="0.3">
      <c r="B286" s="209" t="s">
        <v>548</v>
      </c>
      <c r="C286" s="197" t="s">
        <v>344</v>
      </c>
      <c r="D286" s="110" t="s">
        <v>13</v>
      </c>
      <c r="E286" s="196" t="s">
        <v>345</v>
      </c>
      <c r="F286" s="196"/>
      <c r="G286" s="196"/>
      <c r="H286" s="196"/>
      <c r="I286" s="196"/>
      <c r="J286" s="49" t="s">
        <v>346</v>
      </c>
      <c r="K286" s="107" t="s">
        <v>340</v>
      </c>
      <c r="L286" s="114">
        <v>100</v>
      </c>
      <c r="M286" s="114">
        <v>100</v>
      </c>
      <c r="N286" s="45" t="s">
        <v>0</v>
      </c>
      <c r="O286" s="44" t="s">
        <v>0</v>
      </c>
      <c r="P286" s="107"/>
      <c r="Q286" s="45">
        <v>100</v>
      </c>
      <c r="R286" s="24">
        <f t="shared" si="65"/>
        <v>1</v>
      </c>
      <c r="S286" s="48"/>
    </row>
    <row r="287" spans="2:19" ht="31.5" x14ac:dyDescent="0.3">
      <c r="B287" s="209"/>
      <c r="C287" s="197"/>
      <c r="D287" s="110" t="s">
        <v>10</v>
      </c>
      <c r="E287" s="52">
        <v>903</v>
      </c>
      <c r="F287" s="110" t="s">
        <v>197</v>
      </c>
      <c r="G287" s="110" t="s">
        <v>221</v>
      </c>
      <c r="H287" s="110" t="s">
        <v>336</v>
      </c>
      <c r="I287" s="52">
        <v>611</v>
      </c>
      <c r="J287" s="49" t="s">
        <v>4</v>
      </c>
      <c r="K287" s="107" t="s">
        <v>3</v>
      </c>
      <c r="L287" s="50">
        <v>1090</v>
      </c>
      <c r="M287" s="50">
        <v>1425</v>
      </c>
      <c r="N287" s="50">
        <v>1425</v>
      </c>
      <c r="O287" s="24">
        <v>1</v>
      </c>
      <c r="P287" s="107"/>
      <c r="Q287" s="45">
        <v>1425</v>
      </c>
      <c r="R287" s="24">
        <f t="shared" si="65"/>
        <v>1</v>
      </c>
      <c r="S287" s="48"/>
    </row>
    <row r="288" spans="2:19" x14ac:dyDescent="0.3">
      <c r="B288" s="119"/>
      <c r="C288" s="51" t="s">
        <v>1</v>
      </c>
      <c r="D288" s="52"/>
      <c r="E288" s="52"/>
      <c r="F288" s="52"/>
      <c r="G288" s="52"/>
      <c r="H288" s="52"/>
      <c r="I288" s="52"/>
      <c r="J288" s="53"/>
      <c r="K288" s="16"/>
      <c r="L288" s="95">
        <f>L287+L285+L283+L281+L279</f>
        <v>31436.9</v>
      </c>
      <c r="M288" s="95">
        <f t="shared" ref="M288:Q288" si="66">M287+M285+M283+M281+M279</f>
        <v>36705.4</v>
      </c>
      <c r="N288" s="95">
        <f t="shared" si="66"/>
        <v>36705.4</v>
      </c>
      <c r="O288" s="24">
        <v>1</v>
      </c>
      <c r="P288" s="95">
        <f t="shared" si="66"/>
        <v>0</v>
      </c>
      <c r="Q288" s="95">
        <f t="shared" si="66"/>
        <v>36705.4</v>
      </c>
      <c r="R288" s="24">
        <f t="shared" si="65"/>
        <v>1</v>
      </c>
      <c r="S288" s="15"/>
    </row>
    <row r="289" spans="2:19" ht="31.5" x14ac:dyDescent="0.3">
      <c r="B289" s="196" t="s">
        <v>667</v>
      </c>
      <c r="C289" s="198" t="s">
        <v>592</v>
      </c>
      <c r="D289" s="117" t="s">
        <v>13</v>
      </c>
      <c r="E289" s="199" t="s">
        <v>343</v>
      </c>
      <c r="F289" s="199"/>
      <c r="G289" s="199"/>
      <c r="H289" s="199"/>
      <c r="I289" s="199"/>
      <c r="J289" s="118" t="s">
        <v>195</v>
      </c>
      <c r="K289" s="118" t="s">
        <v>146</v>
      </c>
      <c r="L289" s="44">
        <v>784</v>
      </c>
      <c r="M289" s="44">
        <v>784</v>
      </c>
      <c r="N289" s="45" t="s">
        <v>0</v>
      </c>
      <c r="O289" s="44" t="s">
        <v>0</v>
      </c>
      <c r="P289" s="44"/>
      <c r="Q289" s="44">
        <v>784</v>
      </c>
      <c r="R289" s="24">
        <f t="shared" si="65"/>
        <v>1</v>
      </c>
      <c r="S289" s="118"/>
    </row>
    <row r="290" spans="2:19" ht="31.5" x14ac:dyDescent="0.3">
      <c r="B290" s="196"/>
      <c r="C290" s="198"/>
      <c r="D290" s="141" t="s">
        <v>10</v>
      </c>
      <c r="E290" s="117" t="s">
        <v>593</v>
      </c>
      <c r="F290" s="117" t="s">
        <v>594</v>
      </c>
      <c r="G290" s="117" t="s">
        <v>221</v>
      </c>
      <c r="H290" s="162" t="s">
        <v>595</v>
      </c>
      <c r="I290" s="117" t="s">
        <v>5</v>
      </c>
      <c r="J290" s="117" t="s">
        <v>4</v>
      </c>
      <c r="K290" s="126" t="s">
        <v>3</v>
      </c>
      <c r="L290" s="50">
        <v>12217.1</v>
      </c>
      <c r="M290" s="50">
        <f>19482.19123-8732.1-2000+5400</f>
        <v>14150.1</v>
      </c>
      <c r="N290" s="95">
        <v>14150.1</v>
      </c>
      <c r="O290" s="24">
        <f>N290/M290*100%</f>
        <v>1</v>
      </c>
      <c r="P290" s="118"/>
      <c r="Q290" s="50">
        <v>14150.1</v>
      </c>
      <c r="R290" s="24">
        <f t="shared" si="65"/>
        <v>1</v>
      </c>
      <c r="S290" s="163"/>
    </row>
    <row r="291" spans="2:19" ht="31.5" x14ac:dyDescent="0.3">
      <c r="B291" s="196"/>
      <c r="C291" s="198"/>
      <c r="D291" s="141" t="s">
        <v>10</v>
      </c>
      <c r="E291" s="117" t="s">
        <v>593</v>
      </c>
      <c r="F291" s="117" t="s">
        <v>594</v>
      </c>
      <c r="G291" s="117" t="s">
        <v>221</v>
      </c>
      <c r="H291" s="162" t="s">
        <v>595</v>
      </c>
      <c r="I291" s="117" t="s">
        <v>150</v>
      </c>
      <c r="J291" s="117" t="s">
        <v>4</v>
      </c>
      <c r="K291" s="126" t="s">
        <v>3</v>
      </c>
      <c r="L291" s="50">
        <f>39887.2-1950</f>
        <v>37937.199999999997</v>
      </c>
      <c r="M291" s="50">
        <f>39080.2-615.6+5528-1950</f>
        <v>42042.6</v>
      </c>
      <c r="N291" s="95">
        <f>43992.6-1950</f>
        <v>42042.6</v>
      </c>
      <c r="O291" s="24">
        <f>N291/M291*100%</f>
        <v>1</v>
      </c>
      <c r="P291" s="118"/>
      <c r="Q291" s="50">
        <f>43992.6-1950</f>
        <v>42042.6</v>
      </c>
      <c r="R291" s="24">
        <f t="shared" si="65"/>
        <v>1</v>
      </c>
      <c r="S291" s="163"/>
    </row>
    <row r="292" spans="2:19" ht="31.5" x14ac:dyDescent="0.3">
      <c r="B292" s="196"/>
      <c r="C292" s="198"/>
      <c r="D292" s="141" t="s">
        <v>10</v>
      </c>
      <c r="E292" s="117" t="s">
        <v>593</v>
      </c>
      <c r="F292" s="117" t="s">
        <v>594</v>
      </c>
      <c r="G292" s="117" t="s">
        <v>221</v>
      </c>
      <c r="H292" s="164" t="s">
        <v>596</v>
      </c>
      <c r="I292" s="117" t="s">
        <v>5</v>
      </c>
      <c r="J292" s="117" t="s">
        <v>4</v>
      </c>
      <c r="K292" s="126" t="s">
        <v>3</v>
      </c>
      <c r="L292" s="50">
        <v>2743.5</v>
      </c>
      <c r="M292" s="50">
        <v>2743.5</v>
      </c>
      <c r="N292" s="50">
        <v>2743.5</v>
      </c>
      <c r="O292" s="24">
        <f>N292/M292*100%</f>
        <v>1</v>
      </c>
      <c r="P292" s="118"/>
      <c r="Q292" s="50">
        <v>2743.5</v>
      </c>
      <c r="R292" s="24">
        <f t="shared" si="65"/>
        <v>1</v>
      </c>
      <c r="S292" s="163"/>
    </row>
    <row r="293" spans="2:19" ht="31.5" x14ac:dyDescent="0.3">
      <c r="B293" s="196"/>
      <c r="C293" s="198"/>
      <c r="D293" s="141" t="s">
        <v>10</v>
      </c>
      <c r="E293" s="117" t="s">
        <v>593</v>
      </c>
      <c r="F293" s="117" t="s">
        <v>594</v>
      </c>
      <c r="G293" s="117" t="s">
        <v>221</v>
      </c>
      <c r="H293" s="164" t="s">
        <v>596</v>
      </c>
      <c r="I293" s="117" t="s">
        <v>150</v>
      </c>
      <c r="J293" s="117" t="s">
        <v>4</v>
      </c>
      <c r="K293" s="126" t="s">
        <v>3</v>
      </c>
      <c r="L293" s="50">
        <f>3212.6+572</f>
        <v>3784.6</v>
      </c>
      <c r="M293" s="50">
        <v>3212.6</v>
      </c>
      <c r="N293" s="50">
        <v>3212.6</v>
      </c>
      <c r="O293" s="24">
        <f t="shared" ref="O293" si="67">N293/M293*100%</f>
        <v>1</v>
      </c>
      <c r="P293" s="118"/>
      <c r="Q293" s="50">
        <v>3212.6</v>
      </c>
      <c r="R293" s="24">
        <f t="shared" si="65"/>
        <v>1</v>
      </c>
      <c r="S293" s="163"/>
    </row>
    <row r="294" spans="2:19" ht="31.5" x14ac:dyDescent="0.3">
      <c r="B294" s="196" t="s">
        <v>668</v>
      </c>
      <c r="C294" s="208" t="s">
        <v>597</v>
      </c>
      <c r="D294" s="117" t="s">
        <v>13</v>
      </c>
      <c r="E294" s="199" t="s">
        <v>598</v>
      </c>
      <c r="F294" s="199"/>
      <c r="G294" s="199"/>
      <c r="H294" s="199"/>
      <c r="I294" s="199"/>
      <c r="J294" s="118" t="s">
        <v>220</v>
      </c>
      <c r="K294" s="118" t="s">
        <v>200</v>
      </c>
      <c r="L294" s="44">
        <v>350</v>
      </c>
      <c r="M294" s="44">
        <v>350</v>
      </c>
      <c r="N294" s="45" t="s">
        <v>29</v>
      </c>
      <c r="O294" s="45" t="s">
        <v>0</v>
      </c>
      <c r="P294" s="44"/>
      <c r="Q294" s="44">
        <v>350</v>
      </c>
      <c r="R294" s="24">
        <f t="shared" si="65"/>
        <v>1</v>
      </c>
      <c r="S294" s="118"/>
    </row>
    <row r="295" spans="2:19" ht="31.5" x14ac:dyDescent="0.3">
      <c r="B295" s="196"/>
      <c r="C295" s="208"/>
      <c r="D295" s="141" t="s">
        <v>10</v>
      </c>
      <c r="E295" s="117" t="s">
        <v>593</v>
      </c>
      <c r="F295" s="117" t="s">
        <v>594</v>
      </c>
      <c r="G295" s="117" t="s">
        <v>221</v>
      </c>
      <c r="H295" s="162" t="s">
        <v>595</v>
      </c>
      <c r="I295" s="117" t="s">
        <v>5</v>
      </c>
      <c r="J295" s="117" t="s">
        <v>4</v>
      </c>
      <c r="K295" s="126" t="s">
        <v>3</v>
      </c>
      <c r="L295" s="50">
        <v>2942.1</v>
      </c>
      <c r="M295" s="50">
        <v>3173.8</v>
      </c>
      <c r="N295" s="50">
        <v>3173.8</v>
      </c>
      <c r="O295" s="24">
        <f>N295/M295*100%</f>
        <v>1</v>
      </c>
      <c r="P295" s="118"/>
      <c r="Q295" s="50">
        <v>3173.8</v>
      </c>
      <c r="R295" s="24">
        <f t="shared" si="65"/>
        <v>1</v>
      </c>
      <c r="S295" s="163"/>
    </row>
    <row r="296" spans="2:19" ht="31.5" x14ac:dyDescent="0.3">
      <c r="B296" s="196"/>
      <c r="C296" s="208"/>
      <c r="D296" s="141" t="s">
        <v>10</v>
      </c>
      <c r="E296" s="117" t="s">
        <v>593</v>
      </c>
      <c r="F296" s="117" t="s">
        <v>594</v>
      </c>
      <c r="G296" s="117" t="s">
        <v>221</v>
      </c>
      <c r="H296" s="162" t="s">
        <v>595</v>
      </c>
      <c r="I296" s="117" t="s">
        <v>150</v>
      </c>
      <c r="J296" s="117" t="s">
        <v>4</v>
      </c>
      <c r="K296" s="126" t="s">
        <v>3</v>
      </c>
      <c r="L296" s="50">
        <v>23636.400000000001</v>
      </c>
      <c r="M296" s="50">
        <v>25497.7</v>
      </c>
      <c r="N296" s="50">
        <v>25497.7</v>
      </c>
      <c r="O296" s="24">
        <f>N296/M296*100%</f>
        <v>1</v>
      </c>
      <c r="P296" s="118"/>
      <c r="Q296" s="50">
        <v>25497.7</v>
      </c>
      <c r="R296" s="24">
        <f t="shared" si="65"/>
        <v>1</v>
      </c>
      <c r="S296" s="163"/>
    </row>
    <row r="297" spans="2:19" ht="31.5" x14ac:dyDescent="0.3">
      <c r="B297" s="196"/>
      <c r="C297" s="208"/>
      <c r="D297" s="141" t="s">
        <v>10</v>
      </c>
      <c r="E297" s="117" t="s">
        <v>593</v>
      </c>
      <c r="F297" s="117" t="s">
        <v>594</v>
      </c>
      <c r="G297" s="117" t="s">
        <v>221</v>
      </c>
      <c r="H297" s="164" t="s">
        <v>596</v>
      </c>
      <c r="I297" s="117" t="s">
        <v>5</v>
      </c>
      <c r="J297" s="117" t="s">
        <v>4</v>
      </c>
      <c r="K297" s="126" t="s">
        <v>3</v>
      </c>
      <c r="L297" s="50">
        <v>581.20000000000005</v>
      </c>
      <c r="M297" s="50">
        <v>481.2</v>
      </c>
      <c r="N297" s="50">
        <v>481.2</v>
      </c>
      <c r="O297" s="24">
        <f t="shared" ref="O297:O298" si="68">N297/M297*100%</f>
        <v>1</v>
      </c>
      <c r="P297" s="118"/>
      <c r="Q297" s="50">
        <v>481.2</v>
      </c>
      <c r="R297" s="24">
        <f t="shared" si="65"/>
        <v>1</v>
      </c>
      <c r="S297" s="163"/>
    </row>
    <row r="298" spans="2:19" ht="31.5" x14ac:dyDescent="0.3">
      <c r="B298" s="196"/>
      <c r="C298" s="208"/>
      <c r="D298" s="141" t="s">
        <v>10</v>
      </c>
      <c r="E298" s="117" t="s">
        <v>593</v>
      </c>
      <c r="F298" s="117" t="s">
        <v>594</v>
      </c>
      <c r="G298" s="117" t="s">
        <v>221</v>
      </c>
      <c r="H298" s="164" t="s">
        <v>596</v>
      </c>
      <c r="I298" s="117" t="s">
        <v>150</v>
      </c>
      <c r="J298" s="117" t="s">
        <v>4</v>
      </c>
      <c r="K298" s="126" t="s">
        <v>3</v>
      </c>
      <c r="L298" s="50">
        <f>2315.4+400</f>
        <v>2715.4</v>
      </c>
      <c r="M298" s="50">
        <v>2315.4</v>
      </c>
      <c r="N298" s="50">
        <v>2315.4</v>
      </c>
      <c r="O298" s="24">
        <f t="shared" si="68"/>
        <v>1</v>
      </c>
      <c r="P298" s="118"/>
      <c r="Q298" s="50">
        <v>2315.4</v>
      </c>
      <c r="R298" s="24">
        <f t="shared" si="65"/>
        <v>1</v>
      </c>
      <c r="S298" s="163"/>
    </row>
    <row r="299" spans="2:19" ht="31.5" x14ac:dyDescent="0.3">
      <c r="B299" s="196" t="s">
        <v>669</v>
      </c>
      <c r="C299" s="208" t="s">
        <v>599</v>
      </c>
      <c r="D299" s="117" t="s">
        <v>13</v>
      </c>
      <c r="E299" s="199" t="s">
        <v>600</v>
      </c>
      <c r="F299" s="199"/>
      <c r="G299" s="199"/>
      <c r="H299" s="199"/>
      <c r="I299" s="199"/>
      <c r="J299" s="117" t="s">
        <v>195</v>
      </c>
      <c r="K299" s="118" t="s">
        <v>146</v>
      </c>
      <c r="L299" s="44">
        <v>54</v>
      </c>
      <c r="M299" s="44">
        <v>54</v>
      </c>
      <c r="N299" s="45" t="s">
        <v>0</v>
      </c>
      <c r="O299" s="44" t="s">
        <v>0</v>
      </c>
      <c r="P299" s="44"/>
      <c r="Q299" s="44">
        <v>54</v>
      </c>
      <c r="R299" s="24">
        <f t="shared" si="65"/>
        <v>1</v>
      </c>
      <c r="S299" s="118"/>
    </row>
    <row r="300" spans="2:19" ht="31.5" x14ac:dyDescent="0.3">
      <c r="B300" s="196"/>
      <c r="C300" s="208"/>
      <c r="D300" s="141" t="s">
        <v>10</v>
      </c>
      <c r="E300" s="117" t="s">
        <v>593</v>
      </c>
      <c r="F300" s="117" t="s">
        <v>594</v>
      </c>
      <c r="G300" s="117" t="s">
        <v>221</v>
      </c>
      <c r="H300" s="162" t="s">
        <v>595</v>
      </c>
      <c r="I300" s="117" t="s">
        <v>5</v>
      </c>
      <c r="J300" s="117" t="s">
        <v>4</v>
      </c>
      <c r="K300" s="126" t="s">
        <v>3</v>
      </c>
      <c r="L300" s="50">
        <v>2075.4</v>
      </c>
      <c r="M300" s="50">
        <v>2238.8000000000002</v>
      </c>
      <c r="N300" s="50">
        <v>2238.8000000000002</v>
      </c>
      <c r="O300" s="24">
        <f>N300/M300*100%</f>
        <v>1</v>
      </c>
      <c r="P300" s="118"/>
      <c r="Q300" s="50">
        <v>2238.8000000000002</v>
      </c>
      <c r="R300" s="24">
        <f t="shared" si="65"/>
        <v>1</v>
      </c>
      <c r="S300" s="163"/>
    </row>
    <row r="301" spans="2:19" ht="31.5" x14ac:dyDescent="0.3">
      <c r="B301" s="196"/>
      <c r="C301" s="208"/>
      <c r="D301" s="141" t="s">
        <v>10</v>
      </c>
      <c r="E301" s="117" t="s">
        <v>593</v>
      </c>
      <c r="F301" s="117" t="s">
        <v>594</v>
      </c>
      <c r="G301" s="117" t="s">
        <v>221</v>
      </c>
      <c r="H301" s="164" t="s">
        <v>596</v>
      </c>
      <c r="I301" s="117" t="s">
        <v>5</v>
      </c>
      <c r="J301" s="117" t="s">
        <v>4</v>
      </c>
      <c r="K301" s="126" t="s">
        <v>3</v>
      </c>
      <c r="L301" s="50">
        <v>582.29999999999995</v>
      </c>
      <c r="M301" s="50">
        <v>582.29999999999995</v>
      </c>
      <c r="N301" s="50">
        <v>582.29999999999995</v>
      </c>
      <c r="O301" s="24">
        <f>N301/M301*100%</f>
        <v>1</v>
      </c>
      <c r="P301" s="118"/>
      <c r="Q301" s="50">
        <v>582.29999999999995</v>
      </c>
      <c r="R301" s="24">
        <f t="shared" si="65"/>
        <v>1</v>
      </c>
      <c r="S301" s="163"/>
    </row>
    <row r="302" spans="2:19" ht="31.5" customHeight="1" x14ac:dyDescent="0.3">
      <c r="B302" s="196" t="s">
        <v>670</v>
      </c>
      <c r="C302" s="208" t="s">
        <v>601</v>
      </c>
      <c r="D302" s="117" t="s">
        <v>13</v>
      </c>
      <c r="E302" s="199" t="s">
        <v>602</v>
      </c>
      <c r="F302" s="199"/>
      <c r="G302" s="199"/>
      <c r="H302" s="199"/>
      <c r="I302" s="199"/>
      <c r="J302" s="117" t="s">
        <v>195</v>
      </c>
      <c r="K302" s="118" t="s">
        <v>146</v>
      </c>
      <c r="L302" s="44">
        <v>17</v>
      </c>
      <c r="M302" s="44">
        <v>17</v>
      </c>
      <c r="N302" s="45" t="s">
        <v>0</v>
      </c>
      <c r="O302" s="44" t="s">
        <v>0</v>
      </c>
      <c r="P302" s="44"/>
      <c r="Q302" s="44">
        <v>17</v>
      </c>
      <c r="R302" s="24">
        <f t="shared" si="65"/>
        <v>1</v>
      </c>
      <c r="S302" s="118"/>
    </row>
    <row r="303" spans="2:19" ht="31.5" x14ac:dyDescent="0.3">
      <c r="B303" s="196"/>
      <c r="C303" s="208"/>
      <c r="D303" s="141" t="s">
        <v>10</v>
      </c>
      <c r="E303" s="117" t="s">
        <v>593</v>
      </c>
      <c r="F303" s="117" t="s">
        <v>594</v>
      </c>
      <c r="G303" s="117" t="s">
        <v>221</v>
      </c>
      <c r="H303" s="162" t="s">
        <v>595</v>
      </c>
      <c r="I303" s="117" t="s">
        <v>5</v>
      </c>
      <c r="J303" s="117" t="s">
        <v>4</v>
      </c>
      <c r="K303" s="126" t="s">
        <v>3</v>
      </c>
      <c r="L303" s="50">
        <v>353.7</v>
      </c>
      <c r="M303" s="50">
        <v>381.6</v>
      </c>
      <c r="N303" s="50">
        <v>381.6</v>
      </c>
      <c r="O303" s="24">
        <f>N303/M303*100%</f>
        <v>1</v>
      </c>
      <c r="P303" s="118"/>
      <c r="Q303" s="50">
        <v>381.6</v>
      </c>
      <c r="R303" s="24">
        <f t="shared" si="65"/>
        <v>1</v>
      </c>
      <c r="S303" s="163"/>
    </row>
    <row r="304" spans="2:19" ht="31.5" x14ac:dyDescent="0.3">
      <c r="B304" s="196"/>
      <c r="C304" s="208"/>
      <c r="D304" s="141" t="s">
        <v>10</v>
      </c>
      <c r="E304" s="117" t="s">
        <v>593</v>
      </c>
      <c r="F304" s="117" t="s">
        <v>594</v>
      </c>
      <c r="G304" s="117" t="s">
        <v>221</v>
      </c>
      <c r="H304" s="164" t="s">
        <v>596</v>
      </c>
      <c r="I304" s="117" t="s">
        <v>5</v>
      </c>
      <c r="J304" s="117" t="s">
        <v>4</v>
      </c>
      <c r="K304" s="126" t="s">
        <v>3</v>
      </c>
      <c r="L304" s="50">
        <v>99.2</v>
      </c>
      <c r="M304" s="50">
        <v>99.2</v>
      </c>
      <c r="N304" s="50">
        <v>99.2</v>
      </c>
      <c r="O304" s="24">
        <f>N304/M304*100%</f>
        <v>1</v>
      </c>
      <c r="P304" s="118"/>
      <c r="Q304" s="50">
        <v>99.2</v>
      </c>
      <c r="R304" s="24">
        <f t="shared" si="65"/>
        <v>1</v>
      </c>
      <c r="S304" s="163"/>
    </row>
    <row r="305" spans="2:19" ht="31.5" x14ac:dyDescent="0.3">
      <c r="B305" s="196" t="s">
        <v>671</v>
      </c>
      <c r="C305" s="208" t="s">
        <v>603</v>
      </c>
      <c r="D305" s="117" t="s">
        <v>13</v>
      </c>
      <c r="E305" s="199" t="s">
        <v>604</v>
      </c>
      <c r="F305" s="199"/>
      <c r="G305" s="199"/>
      <c r="H305" s="199"/>
      <c r="I305" s="199"/>
      <c r="J305" s="117" t="s">
        <v>195</v>
      </c>
      <c r="K305" s="118" t="s">
        <v>146</v>
      </c>
      <c r="L305" s="44">
        <v>31</v>
      </c>
      <c r="M305" s="44">
        <v>31</v>
      </c>
      <c r="N305" s="45" t="s">
        <v>0</v>
      </c>
      <c r="O305" s="44" t="s">
        <v>0</v>
      </c>
      <c r="P305" s="44"/>
      <c r="Q305" s="44">
        <v>31</v>
      </c>
      <c r="R305" s="24">
        <f t="shared" si="65"/>
        <v>1</v>
      </c>
      <c r="S305" s="118"/>
    </row>
    <row r="306" spans="2:19" ht="31.5" x14ac:dyDescent="0.3">
      <c r="B306" s="196"/>
      <c r="C306" s="208"/>
      <c r="D306" s="141" t="s">
        <v>10</v>
      </c>
      <c r="E306" s="117" t="s">
        <v>593</v>
      </c>
      <c r="F306" s="117" t="s">
        <v>594</v>
      </c>
      <c r="G306" s="117" t="s">
        <v>221</v>
      </c>
      <c r="H306" s="162" t="s">
        <v>595</v>
      </c>
      <c r="I306" s="117" t="s">
        <v>5</v>
      </c>
      <c r="J306" s="117" t="s">
        <v>4</v>
      </c>
      <c r="K306" s="126" t="s">
        <v>3</v>
      </c>
      <c r="L306" s="50">
        <v>5324.3</v>
      </c>
      <c r="M306" s="50">
        <f>5743.60429</f>
        <v>5743.6</v>
      </c>
      <c r="N306" s="50">
        <v>5743.6</v>
      </c>
      <c r="O306" s="24">
        <f>N306/M306*100%</f>
        <v>1</v>
      </c>
      <c r="P306" s="118"/>
      <c r="Q306" s="50">
        <v>5743.6</v>
      </c>
      <c r="R306" s="24">
        <f t="shared" si="65"/>
        <v>1</v>
      </c>
      <c r="S306" s="163"/>
    </row>
    <row r="307" spans="2:19" ht="31.5" x14ac:dyDescent="0.3">
      <c r="B307" s="196"/>
      <c r="C307" s="208"/>
      <c r="D307" s="141" t="s">
        <v>10</v>
      </c>
      <c r="E307" s="117" t="s">
        <v>593</v>
      </c>
      <c r="F307" s="117" t="s">
        <v>594</v>
      </c>
      <c r="G307" s="117" t="s">
        <v>221</v>
      </c>
      <c r="H307" s="164" t="s">
        <v>596</v>
      </c>
      <c r="I307" s="117" t="s">
        <v>5</v>
      </c>
      <c r="J307" s="117" t="s">
        <v>4</v>
      </c>
      <c r="K307" s="126" t="s">
        <v>3</v>
      </c>
      <c r="L307" s="95">
        <v>1400</v>
      </c>
      <c r="M307" s="50">
        <v>1493.8</v>
      </c>
      <c r="N307" s="50">
        <v>1493.8</v>
      </c>
      <c r="O307" s="24">
        <f>N307/M307*100%</f>
        <v>1</v>
      </c>
      <c r="P307" s="118"/>
      <c r="Q307" s="50">
        <v>1493.8</v>
      </c>
      <c r="R307" s="24">
        <f t="shared" si="65"/>
        <v>1</v>
      </c>
      <c r="S307" s="163"/>
    </row>
    <row r="308" spans="2:19" ht="31.5" x14ac:dyDescent="0.3">
      <c r="B308" s="196" t="s">
        <v>672</v>
      </c>
      <c r="C308" s="208" t="s">
        <v>605</v>
      </c>
      <c r="D308" s="117" t="s">
        <v>13</v>
      </c>
      <c r="E308" s="199" t="s">
        <v>606</v>
      </c>
      <c r="F308" s="199"/>
      <c r="G308" s="199"/>
      <c r="H308" s="199"/>
      <c r="I308" s="199"/>
      <c r="J308" s="117" t="s">
        <v>195</v>
      </c>
      <c r="K308" s="118" t="s">
        <v>146</v>
      </c>
      <c r="L308" s="44">
        <v>7958</v>
      </c>
      <c r="M308" s="44">
        <v>7958</v>
      </c>
      <c r="N308" s="45" t="s">
        <v>0</v>
      </c>
      <c r="O308" s="44" t="s">
        <v>0</v>
      </c>
      <c r="P308" s="44"/>
      <c r="Q308" s="44">
        <v>7958</v>
      </c>
      <c r="R308" s="24">
        <f t="shared" si="65"/>
        <v>1</v>
      </c>
      <c r="S308" s="118"/>
    </row>
    <row r="309" spans="2:19" ht="31.5" x14ac:dyDescent="0.3">
      <c r="B309" s="196"/>
      <c r="C309" s="208"/>
      <c r="D309" s="141" t="s">
        <v>10</v>
      </c>
      <c r="E309" s="117" t="s">
        <v>593</v>
      </c>
      <c r="F309" s="117" t="s">
        <v>594</v>
      </c>
      <c r="G309" s="117" t="s">
        <v>221</v>
      </c>
      <c r="H309" s="162" t="s">
        <v>595</v>
      </c>
      <c r="I309" s="117" t="s">
        <v>150</v>
      </c>
      <c r="J309" s="117" t="s">
        <v>4</v>
      </c>
      <c r="K309" s="126" t="s">
        <v>3</v>
      </c>
      <c r="L309" s="50">
        <v>6025.5</v>
      </c>
      <c r="M309" s="50">
        <v>6500</v>
      </c>
      <c r="N309" s="50">
        <v>6500</v>
      </c>
      <c r="O309" s="24">
        <f>N309/M309*100%</f>
        <v>1</v>
      </c>
      <c r="P309" s="118"/>
      <c r="Q309" s="50">
        <v>6500</v>
      </c>
      <c r="R309" s="24">
        <f t="shared" si="65"/>
        <v>1</v>
      </c>
      <c r="S309" s="163"/>
    </row>
    <row r="310" spans="2:19" x14ac:dyDescent="0.3">
      <c r="B310" s="125"/>
      <c r="C310" s="52" t="s">
        <v>1</v>
      </c>
      <c r="D310" s="52"/>
      <c r="E310" s="117"/>
      <c r="F310" s="117"/>
      <c r="G310" s="117"/>
      <c r="H310" s="162"/>
      <c r="I310" s="117"/>
      <c r="J310" s="53"/>
      <c r="K310" s="16"/>
      <c r="L310" s="95">
        <f>L309+L307+L306+L304+L303+L301+L300+L298+L297+L296+L295+L293+L292+L291+L290</f>
        <v>102417.9</v>
      </c>
      <c r="M310" s="95">
        <f t="shared" ref="M310:Q310" si="69">M309+M307+M306+M304+M303+M301+M300+M298+M297+M296+M295+M293+M292+M291+M290</f>
        <v>110656.2</v>
      </c>
      <c r="N310" s="95">
        <f t="shared" si="69"/>
        <v>110656.2</v>
      </c>
      <c r="O310" s="24">
        <f>N310/M310*100%</f>
        <v>1</v>
      </c>
      <c r="P310" s="95"/>
      <c r="Q310" s="95">
        <f t="shared" si="69"/>
        <v>110656.2</v>
      </c>
      <c r="R310" s="24">
        <f t="shared" si="65"/>
        <v>1</v>
      </c>
      <c r="S310" s="85"/>
    </row>
    <row r="311" spans="2:19" s="23" customFormat="1" x14ac:dyDescent="0.3">
      <c r="B311" s="77"/>
      <c r="C311" s="78" t="s">
        <v>2</v>
      </c>
      <c r="D311" s="79"/>
      <c r="E311" s="79"/>
      <c r="F311" s="79"/>
      <c r="G311" s="79"/>
      <c r="H311" s="79"/>
      <c r="I311" s="79"/>
      <c r="J311" s="151"/>
      <c r="K311" s="81"/>
      <c r="L311" s="96">
        <f>L288+L310</f>
        <v>133854.79999999999</v>
      </c>
      <c r="M311" s="96">
        <f t="shared" ref="M311:Q311" si="70">M288+M310</f>
        <v>147361.60000000001</v>
      </c>
      <c r="N311" s="96">
        <f t="shared" si="70"/>
        <v>147361.60000000001</v>
      </c>
      <c r="O311" s="132">
        <f>N311/M311*100%</f>
        <v>1</v>
      </c>
      <c r="P311" s="96"/>
      <c r="Q311" s="96">
        <f t="shared" si="70"/>
        <v>147361.60000000001</v>
      </c>
      <c r="R311" s="24">
        <f t="shared" si="65"/>
        <v>1</v>
      </c>
      <c r="S311" s="85"/>
    </row>
    <row r="312" spans="2:19" ht="18.75" customHeight="1" x14ac:dyDescent="0.3">
      <c r="B312" s="150">
        <v>10</v>
      </c>
      <c r="C312" s="255" t="s">
        <v>362</v>
      </c>
      <c r="D312" s="256"/>
      <c r="E312" s="256"/>
      <c r="F312" s="256"/>
      <c r="G312" s="256"/>
      <c r="H312" s="256"/>
      <c r="I312" s="256"/>
      <c r="J312" s="256"/>
      <c r="K312" s="257"/>
      <c r="L312" s="105"/>
      <c r="M312" s="105"/>
      <c r="N312" s="105"/>
      <c r="O312" s="105"/>
      <c r="P312" s="105"/>
      <c r="Q312" s="105"/>
      <c r="R312" s="105"/>
      <c r="S312" s="15"/>
    </row>
    <row r="313" spans="2:19" ht="73.5" customHeight="1" x14ac:dyDescent="0.3">
      <c r="B313" s="212" t="s">
        <v>549</v>
      </c>
      <c r="C313" s="204" t="s">
        <v>349</v>
      </c>
      <c r="D313" s="166" t="s">
        <v>13</v>
      </c>
      <c r="E313" s="203" t="s">
        <v>567</v>
      </c>
      <c r="F313" s="203"/>
      <c r="G313" s="203"/>
      <c r="H313" s="203"/>
      <c r="I313" s="203"/>
      <c r="J313" s="15" t="s">
        <v>350</v>
      </c>
      <c r="K313" s="16" t="s">
        <v>357</v>
      </c>
      <c r="L313" s="17">
        <v>2350</v>
      </c>
      <c r="M313" s="17">
        <v>2350</v>
      </c>
      <c r="N313" s="17" t="s">
        <v>0</v>
      </c>
      <c r="O313" s="167" t="s">
        <v>0</v>
      </c>
      <c r="P313" s="167"/>
      <c r="Q313" s="167">
        <v>1280</v>
      </c>
      <c r="R313" s="24">
        <f t="shared" ref="R313:R339" si="71">Q313/M313</f>
        <v>0.54500000000000004</v>
      </c>
      <c r="S313" s="244" t="s">
        <v>638</v>
      </c>
    </row>
    <row r="314" spans="2:19" ht="61.5" customHeight="1" x14ac:dyDescent="0.3">
      <c r="B314" s="212"/>
      <c r="C314" s="204"/>
      <c r="D314" s="168" t="s">
        <v>10</v>
      </c>
      <c r="E314" s="166" t="s">
        <v>286</v>
      </c>
      <c r="F314" s="166" t="s">
        <v>237</v>
      </c>
      <c r="G314" s="166" t="s">
        <v>149</v>
      </c>
      <c r="H314" s="166" t="s">
        <v>351</v>
      </c>
      <c r="I314" s="166" t="s">
        <v>5</v>
      </c>
      <c r="J314" s="169" t="s">
        <v>4</v>
      </c>
      <c r="K314" s="16" t="s">
        <v>3</v>
      </c>
      <c r="L314" s="17">
        <v>1662</v>
      </c>
      <c r="M314" s="17">
        <v>1600</v>
      </c>
      <c r="N314" s="17">
        <v>1600</v>
      </c>
      <c r="O314" s="24">
        <f>N314/M314*100%</f>
        <v>1</v>
      </c>
      <c r="P314" s="17"/>
      <c r="Q314" s="167">
        <v>1166</v>
      </c>
      <c r="R314" s="24">
        <f t="shared" si="71"/>
        <v>0.72899999999999998</v>
      </c>
      <c r="S314" s="245"/>
    </row>
    <row r="315" spans="2:19" ht="57" customHeight="1" x14ac:dyDescent="0.3">
      <c r="B315" s="212" t="s">
        <v>550</v>
      </c>
      <c r="C315" s="204" t="s">
        <v>568</v>
      </c>
      <c r="D315" s="166" t="s">
        <v>13</v>
      </c>
      <c r="E315" s="203" t="s">
        <v>567</v>
      </c>
      <c r="F315" s="203"/>
      <c r="G315" s="203"/>
      <c r="H315" s="203"/>
      <c r="I315" s="203"/>
      <c r="J315" s="15" t="s">
        <v>348</v>
      </c>
      <c r="K315" s="16" t="s">
        <v>569</v>
      </c>
      <c r="L315" s="17">
        <v>664</v>
      </c>
      <c r="M315" s="17">
        <v>664</v>
      </c>
      <c r="N315" s="17" t="s">
        <v>29</v>
      </c>
      <c r="O315" s="17" t="s">
        <v>0</v>
      </c>
      <c r="P315" s="167"/>
      <c r="Q315" s="167">
        <v>987</v>
      </c>
      <c r="R315" s="24">
        <f t="shared" si="71"/>
        <v>1.486</v>
      </c>
      <c r="S315" s="245"/>
    </row>
    <row r="316" spans="2:19" ht="78" customHeight="1" x14ac:dyDescent="0.3">
      <c r="B316" s="212"/>
      <c r="C316" s="204"/>
      <c r="D316" s="166" t="s">
        <v>10</v>
      </c>
      <c r="E316" s="166" t="s">
        <v>286</v>
      </c>
      <c r="F316" s="166" t="s">
        <v>237</v>
      </c>
      <c r="G316" s="166" t="s">
        <v>131</v>
      </c>
      <c r="H316" s="170">
        <v>1020581011</v>
      </c>
      <c r="I316" s="171">
        <v>611</v>
      </c>
      <c r="J316" s="15" t="s">
        <v>4</v>
      </c>
      <c r="K316" s="16" t="s">
        <v>3</v>
      </c>
      <c r="L316" s="17">
        <v>1740</v>
      </c>
      <c r="M316" s="17">
        <v>2200</v>
      </c>
      <c r="N316" s="17">
        <v>2200</v>
      </c>
      <c r="O316" s="24">
        <f>N316/M316*100%</f>
        <v>1</v>
      </c>
      <c r="P316" s="17"/>
      <c r="Q316" s="167">
        <v>594</v>
      </c>
      <c r="R316" s="24">
        <f t="shared" si="71"/>
        <v>0.27</v>
      </c>
      <c r="S316" s="246"/>
    </row>
    <row r="317" spans="2:19" ht="31.5" customHeight="1" x14ac:dyDescent="0.3">
      <c r="B317" s="212" t="s">
        <v>551</v>
      </c>
      <c r="C317" s="202" t="s">
        <v>570</v>
      </c>
      <c r="D317" s="166" t="s">
        <v>13</v>
      </c>
      <c r="E317" s="203" t="s">
        <v>571</v>
      </c>
      <c r="F317" s="203"/>
      <c r="G317" s="203"/>
      <c r="H317" s="203"/>
      <c r="I317" s="203"/>
      <c r="J317" s="15" t="s">
        <v>350</v>
      </c>
      <c r="K317" s="16" t="s">
        <v>357</v>
      </c>
      <c r="L317" s="17">
        <v>125706</v>
      </c>
      <c r="M317" s="17">
        <v>125706</v>
      </c>
      <c r="N317" s="17" t="s">
        <v>29</v>
      </c>
      <c r="O317" s="17" t="s">
        <v>0</v>
      </c>
      <c r="P317" s="167"/>
      <c r="Q317" s="167">
        <v>120799</v>
      </c>
      <c r="R317" s="24">
        <f t="shared" si="71"/>
        <v>0.96099999999999997</v>
      </c>
      <c r="S317" s="165"/>
    </row>
    <row r="318" spans="2:19" ht="31.5" x14ac:dyDescent="0.3">
      <c r="B318" s="212"/>
      <c r="C318" s="202"/>
      <c r="D318" s="166" t="s">
        <v>10</v>
      </c>
      <c r="E318" s="171">
        <v>901</v>
      </c>
      <c r="F318" s="166" t="s">
        <v>237</v>
      </c>
      <c r="G318" s="171" t="s">
        <v>149</v>
      </c>
      <c r="H318" s="170">
        <v>1020381010</v>
      </c>
      <c r="I318" s="171">
        <v>611</v>
      </c>
      <c r="J318" s="15" t="s">
        <v>4</v>
      </c>
      <c r="K318" s="16" t="s">
        <v>3</v>
      </c>
      <c r="L318" s="17">
        <v>16726.5</v>
      </c>
      <c r="M318" s="17">
        <f>16369.7+5052.8</f>
        <v>21422.5</v>
      </c>
      <c r="N318" s="17">
        <f>16369.7+5052.8</f>
        <v>21422.5</v>
      </c>
      <c r="O318" s="24">
        <f>N318/M318*100%</f>
        <v>1</v>
      </c>
      <c r="P318" s="17"/>
      <c r="Q318" s="17">
        <f>16533.6+5052.8</f>
        <v>21586.400000000001</v>
      </c>
      <c r="R318" s="24">
        <f t="shared" si="71"/>
        <v>1.008</v>
      </c>
      <c r="S318" s="165"/>
    </row>
    <row r="319" spans="2:19" ht="31.5" x14ac:dyDescent="0.3">
      <c r="B319" s="212"/>
      <c r="C319" s="202"/>
      <c r="D319" s="166" t="s">
        <v>13</v>
      </c>
      <c r="E319" s="203" t="s">
        <v>571</v>
      </c>
      <c r="F319" s="203"/>
      <c r="G319" s="203"/>
      <c r="H319" s="203"/>
      <c r="I319" s="203"/>
      <c r="J319" s="15" t="s">
        <v>353</v>
      </c>
      <c r="K319" s="16" t="s">
        <v>357</v>
      </c>
      <c r="L319" s="17">
        <v>20909</v>
      </c>
      <c r="M319" s="17">
        <v>20909</v>
      </c>
      <c r="N319" s="17" t="s">
        <v>29</v>
      </c>
      <c r="O319" s="17" t="s">
        <v>0</v>
      </c>
      <c r="P319" s="167"/>
      <c r="Q319" s="167">
        <v>21199</v>
      </c>
      <c r="R319" s="24">
        <f t="shared" si="71"/>
        <v>1.014</v>
      </c>
      <c r="S319" s="165"/>
    </row>
    <row r="320" spans="2:19" ht="31.5" x14ac:dyDescent="0.3">
      <c r="B320" s="212"/>
      <c r="C320" s="202"/>
      <c r="D320" s="166" t="s">
        <v>10</v>
      </c>
      <c r="E320" s="171">
        <v>901</v>
      </c>
      <c r="F320" s="171" t="s">
        <v>237</v>
      </c>
      <c r="G320" s="171" t="s">
        <v>149</v>
      </c>
      <c r="H320" s="170">
        <v>1020381010</v>
      </c>
      <c r="I320" s="171">
        <v>611</v>
      </c>
      <c r="J320" s="15" t="s">
        <v>4</v>
      </c>
      <c r="K320" s="16" t="s">
        <v>3</v>
      </c>
      <c r="L320" s="17">
        <v>14263.9</v>
      </c>
      <c r="M320" s="17">
        <f>13664.7+6000</f>
        <v>19664.7</v>
      </c>
      <c r="N320" s="17">
        <v>19664.7</v>
      </c>
      <c r="O320" s="24">
        <f>N320/M320*100%</f>
        <v>1</v>
      </c>
      <c r="P320" s="17"/>
      <c r="Q320" s="17">
        <v>19629</v>
      </c>
      <c r="R320" s="24">
        <f t="shared" si="71"/>
        <v>0.998</v>
      </c>
      <c r="S320" s="165"/>
    </row>
    <row r="321" spans="2:19" ht="31.5" x14ac:dyDescent="0.3">
      <c r="B321" s="212" t="s">
        <v>552</v>
      </c>
      <c r="C321" s="204" t="s">
        <v>354</v>
      </c>
      <c r="D321" s="166" t="s">
        <v>13</v>
      </c>
      <c r="E321" s="213" t="s">
        <v>572</v>
      </c>
      <c r="F321" s="213"/>
      <c r="G321" s="213"/>
      <c r="H321" s="213"/>
      <c r="I321" s="213"/>
      <c r="J321" s="15" t="s">
        <v>651</v>
      </c>
      <c r="K321" s="16" t="s">
        <v>67</v>
      </c>
      <c r="L321" s="17">
        <v>481</v>
      </c>
      <c r="M321" s="17">
        <v>481</v>
      </c>
      <c r="N321" s="17" t="s">
        <v>29</v>
      </c>
      <c r="O321" s="17" t="s">
        <v>0</v>
      </c>
      <c r="P321" s="167"/>
      <c r="Q321" s="167">
        <v>487</v>
      </c>
      <c r="R321" s="24">
        <f t="shared" si="71"/>
        <v>1.012</v>
      </c>
      <c r="S321" s="15"/>
    </row>
    <row r="322" spans="2:19" ht="47.25" x14ac:dyDescent="0.3">
      <c r="B322" s="212"/>
      <c r="C322" s="204"/>
      <c r="D322" s="166" t="s">
        <v>10</v>
      </c>
      <c r="E322" s="171">
        <v>901</v>
      </c>
      <c r="F322" s="166" t="s">
        <v>237</v>
      </c>
      <c r="G322" s="166" t="s">
        <v>237</v>
      </c>
      <c r="H322" s="170">
        <v>1020381010</v>
      </c>
      <c r="I322" s="171">
        <v>611</v>
      </c>
      <c r="J322" s="15" t="s">
        <v>4</v>
      </c>
      <c r="K322" s="16" t="s">
        <v>3</v>
      </c>
      <c r="L322" s="17">
        <v>3634</v>
      </c>
      <c r="M322" s="17">
        <v>3634</v>
      </c>
      <c r="N322" s="17">
        <v>3634</v>
      </c>
      <c r="O322" s="24">
        <f>N322/M322*100%</f>
        <v>1</v>
      </c>
      <c r="P322" s="17"/>
      <c r="Q322" s="17">
        <v>2010.7</v>
      </c>
      <c r="R322" s="24">
        <f t="shared" si="71"/>
        <v>0.55300000000000005</v>
      </c>
      <c r="S322" s="172" t="s">
        <v>637</v>
      </c>
    </row>
    <row r="323" spans="2:19" ht="31.5" customHeight="1" x14ac:dyDescent="0.3">
      <c r="B323" s="212" t="s">
        <v>553</v>
      </c>
      <c r="C323" s="204" t="s">
        <v>630</v>
      </c>
      <c r="D323" s="166" t="s">
        <v>13</v>
      </c>
      <c r="E323" s="203" t="s">
        <v>573</v>
      </c>
      <c r="F323" s="203"/>
      <c r="G323" s="203"/>
      <c r="H323" s="203"/>
      <c r="I323" s="203"/>
      <c r="J323" s="15" t="s">
        <v>574</v>
      </c>
      <c r="K323" s="16" t="s">
        <v>146</v>
      </c>
      <c r="L323" s="17">
        <v>226</v>
      </c>
      <c r="M323" s="17">
        <v>226</v>
      </c>
      <c r="N323" s="17" t="s">
        <v>29</v>
      </c>
      <c r="O323" s="17" t="s">
        <v>0</v>
      </c>
      <c r="P323" s="167"/>
      <c r="Q323" s="167">
        <v>102</v>
      </c>
      <c r="R323" s="24">
        <f t="shared" si="71"/>
        <v>0.45100000000000001</v>
      </c>
      <c r="S323" s="247" t="s">
        <v>638</v>
      </c>
    </row>
    <row r="324" spans="2:19" ht="105" customHeight="1" x14ac:dyDescent="0.3">
      <c r="B324" s="212"/>
      <c r="C324" s="204"/>
      <c r="D324" s="166" t="s">
        <v>10</v>
      </c>
      <c r="E324" s="171">
        <v>901</v>
      </c>
      <c r="F324" s="171" t="s">
        <v>237</v>
      </c>
      <c r="G324" s="166" t="s">
        <v>131</v>
      </c>
      <c r="H324" s="166" t="s">
        <v>352</v>
      </c>
      <c r="I324" s="171">
        <v>611</v>
      </c>
      <c r="J324" s="15" t="s">
        <v>4</v>
      </c>
      <c r="K324" s="16" t="s">
        <v>3</v>
      </c>
      <c r="L324" s="17">
        <v>7349.4</v>
      </c>
      <c r="M324" s="17">
        <v>7356</v>
      </c>
      <c r="N324" s="17">
        <v>6472.3</v>
      </c>
      <c r="O324" s="24">
        <f>N324/M324*100%</f>
        <v>0.88</v>
      </c>
      <c r="P324" s="17"/>
      <c r="Q324" s="17">
        <v>6472.3</v>
      </c>
      <c r="R324" s="24">
        <f t="shared" si="71"/>
        <v>0.88</v>
      </c>
      <c r="S324" s="248"/>
    </row>
    <row r="325" spans="2:19" ht="31.5" x14ac:dyDescent="0.3">
      <c r="B325" s="212"/>
      <c r="C325" s="204" t="s">
        <v>629</v>
      </c>
      <c r="D325" s="152" t="s">
        <v>13</v>
      </c>
      <c r="E325" s="203" t="s">
        <v>573</v>
      </c>
      <c r="F325" s="203"/>
      <c r="G325" s="203"/>
      <c r="H325" s="203"/>
      <c r="I325" s="203"/>
      <c r="J325" s="15" t="s">
        <v>575</v>
      </c>
      <c r="K325" s="16" t="s">
        <v>146</v>
      </c>
      <c r="L325" s="19">
        <v>79</v>
      </c>
      <c r="M325" s="19">
        <v>79</v>
      </c>
      <c r="N325" s="19" t="s">
        <v>29</v>
      </c>
      <c r="O325" s="19" t="s">
        <v>0</v>
      </c>
      <c r="P325" s="173"/>
      <c r="Q325" s="173">
        <v>9</v>
      </c>
      <c r="R325" s="24">
        <f t="shared" si="71"/>
        <v>0.114</v>
      </c>
      <c r="S325" s="248"/>
    </row>
    <row r="326" spans="2:19" ht="96.75" customHeight="1" x14ac:dyDescent="0.3">
      <c r="B326" s="212"/>
      <c r="C326" s="204"/>
      <c r="D326" s="152" t="s">
        <v>10</v>
      </c>
      <c r="E326" s="152" t="s">
        <v>286</v>
      </c>
      <c r="F326" s="152" t="s">
        <v>237</v>
      </c>
      <c r="G326" s="152" t="s">
        <v>221</v>
      </c>
      <c r="H326" s="152" t="s">
        <v>352</v>
      </c>
      <c r="I326" s="152" t="s">
        <v>5</v>
      </c>
      <c r="J326" s="149" t="s">
        <v>4</v>
      </c>
      <c r="K326" s="142" t="s">
        <v>3</v>
      </c>
      <c r="L326" s="17">
        <v>514.29999999999995</v>
      </c>
      <c r="M326" s="17">
        <v>514.29999999999995</v>
      </c>
      <c r="N326" s="17">
        <v>514.29999999999995</v>
      </c>
      <c r="O326" s="24">
        <f>N326/M326*100%</f>
        <v>1</v>
      </c>
      <c r="P326" s="17"/>
      <c r="Q326" s="20">
        <v>514.29999999999995</v>
      </c>
      <c r="R326" s="24">
        <f t="shared" si="71"/>
        <v>1</v>
      </c>
      <c r="S326" s="248"/>
    </row>
    <row r="327" spans="2:19" ht="31.5" customHeight="1" x14ac:dyDescent="0.3">
      <c r="B327" s="212" t="s">
        <v>554</v>
      </c>
      <c r="C327" s="204" t="s">
        <v>355</v>
      </c>
      <c r="D327" s="166" t="s">
        <v>13</v>
      </c>
      <c r="E327" s="203" t="s">
        <v>576</v>
      </c>
      <c r="F327" s="203"/>
      <c r="G327" s="203"/>
      <c r="H327" s="203"/>
      <c r="I327" s="203"/>
      <c r="J327" s="15" t="s">
        <v>356</v>
      </c>
      <c r="K327" s="16" t="s">
        <v>357</v>
      </c>
      <c r="L327" s="17">
        <v>2500</v>
      </c>
      <c r="M327" s="17">
        <v>2500</v>
      </c>
      <c r="N327" s="17" t="s">
        <v>0</v>
      </c>
      <c r="O327" s="167" t="s">
        <v>0</v>
      </c>
      <c r="P327" s="167"/>
      <c r="Q327" s="167">
        <v>2184</v>
      </c>
      <c r="R327" s="24">
        <f t="shared" si="71"/>
        <v>0.874</v>
      </c>
      <c r="S327" s="248"/>
    </row>
    <row r="328" spans="2:19" ht="35.25" customHeight="1" x14ac:dyDescent="0.3">
      <c r="B328" s="212"/>
      <c r="C328" s="204"/>
      <c r="D328" s="168" t="s">
        <v>10</v>
      </c>
      <c r="E328" s="166" t="s">
        <v>286</v>
      </c>
      <c r="F328" s="166" t="s">
        <v>237</v>
      </c>
      <c r="G328" s="166" t="s">
        <v>149</v>
      </c>
      <c r="H328" s="166" t="s">
        <v>358</v>
      </c>
      <c r="I328" s="166" t="s">
        <v>5</v>
      </c>
      <c r="J328" s="169" t="s">
        <v>4</v>
      </c>
      <c r="K328" s="16" t="s">
        <v>3</v>
      </c>
      <c r="L328" s="17">
        <v>5869.8</v>
      </c>
      <c r="M328" s="17">
        <v>5869.8</v>
      </c>
      <c r="N328" s="17">
        <v>5869.8</v>
      </c>
      <c r="O328" s="24">
        <f>N328/M328*100%</f>
        <v>1</v>
      </c>
      <c r="P328" s="17"/>
      <c r="Q328" s="167">
        <v>5808</v>
      </c>
      <c r="R328" s="24">
        <f t="shared" si="71"/>
        <v>0.98899999999999999</v>
      </c>
      <c r="S328" s="248"/>
    </row>
    <row r="329" spans="2:19" ht="35.25" customHeight="1" x14ac:dyDescent="0.3">
      <c r="B329" s="212" t="s">
        <v>555</v>
      </c>
      <c r="C329" s="204" t="s">
        <v>580</v>
      </c>
      <c r="D329" s="166" t="s">
        <v>13</v>
      </c>
      <c r="E329" s="213" t="s">
        <v>581</v>
      </c>
      <c r="F329" s="213"/>
      <c r="G329" s="213"/>
      <c r="H329" s="213"/>
      <c r="I329" s="213"/>
      <c r="J329" s="15" t="s">
        <v>582</v>
      </c>
      <c r="K329" s="16" t="s">
        <v>357</v>
      </c>
      <c r="L329" s="19">
        <v>72214</v>
      </c>
      <c r="M329" s="19">
        <v>71214</v>
      </c>
      <c r="N329" s="19" t="s">
        <v>0</v>
      </c>
      <c r="O329" s="173" t="s">
        <v>0</v>
      </c>
      <c r="P329" s="173"/>
      <c r="Q329" s="173">
        <v>58556</v>
      </c>
      <c r="R329" s="24">
        <f t="shared" si="71"/>
        <v>0.82199999999999995</v>
      </c>
      <c r="S329" s="248"/>
    </row>
    <row r="330" spans="2:19" ht="35.25" customHeight="1" x14ac:dyDescent="0.3">
      <c r="B330" s="212"/>
      <c r="C330" s="204"/>
      <c r="D330" s="168" t="s">
        <v>10</v>
      </c>
      <c r="E330" s="166" t="s">
        <v>286</v>
      </c>
      <c r="F330" s="166" t="s">
        <v>237</v>
      </c>
      <c r="G330" s="166" t="s">
        <v>237</v>
      </c>
      <c r="H330" s="166" t="s">
        <v>361</v>
      </c>
      <c r="I330" s="166" t="s">
        <v>150</v>
      </c>
      <c r="J330" s="169" t="s">
        <v>4</v>
      </c>
      <c r="K330" s="16" t="s">
        <v>3</v>
      </c>
      <c r="L330" s="19">
        <v>18594</v>
      </c>
      <c r="M330" s="19">
        <v>18594</v>
      </c>
      <c r="N330" s="19">
        <v>18594</v>
      </c>
      <c r="O330" s="18">
        <v>1</v>
      </c>
      <c r="P330" s="19"/>
      <c r="Q330" s="173">
        <v>15061</v>
      </c>
      <c r="R330" s="24">
        <f t="shared" si="71"/>
        <v>0.81</v>
      </c>
      <c r="S330" s="249"/>
    </row>
    <row r="331" spans="2:19" ht="63" customHeight="1" x14ac:dyDescent="0.3">
      <c r="B331" s="212" t="s">
        <v>556</v>
      </c>
      <c r="C331" s="204" t="s">
        <v>577</v>
      </c>
      <c r="D331" s="166" t="s">
        <v>13</v>
      </c>
      <c r="E331" s="203" t="s">
        <v>578</v>
      </c>
      <c r="F331" s="203"/>
      <c r="G331" s="203"/>
      <c r="H331" s="203"/>
      <c r="I331" s="203"/>
      <c r="J331" s="16" t="s">
        <v>579</v>
      </c>
      <c r="K331" s="16" t="s">
        <v>632</v>
      </c>
      <c r="L331" s="17">
        <v>4343</v>
      </c>
      <c r="M331" s="17">
        <v>4343</v>
      </c>
      <c r="N331" s="17" t="s">
        <v>0</v>
      </c>
      <c r="O331" s="18" t="s">
        <v>0</v>
      </c>
      <c r="P331" s="167"/>
      <c r="Q331" s="167">
        <v>4904</v>
      </c>
      <c r="R331" s="24">
        <f t="shared" si="71"/>
        <v>1.129</v>
      </c>
      <c r="S331" s="15"/>
    </row>
    <row r="332" spans="2:19" ht="93.75" customHeight="1" x14ac:dyDescent="0.3">
      <c r="B332" s="212"/>
      <c r="C332" s="204"/>
      <c r="D332" s="168" t="s">
        <v>10</v>
      </c>
      <c r="E332" s="166" t="s">
        <v>286</v>
      </c>
      <c r="F332" s="166" t="s">
        <v>237</v>
      </c>
      <c r="G332" s="166" t="s">
        <v>8</v>
      </c>
      <c r="H332" s="166" t="s">
        <v>359</v>
      </c>
      <c r="I332" s="166" t="s">
        <v>5</v>
      </c>
      <c r="J332" s="169" t="s">
        <v>4</v>
      </c>
      <c r="K332" s="16" t="s">
        <v>3</v>
      </c>
      <c r="L332" s="17">
        <v>3413</v>
      </c>
      <c r="M332" s="17">
        <v>3413</v>
      </c>
      <c r="N332" s="17">
        <v>3413</v>
      </c>
      <c r="O332" s="24">
        <f>N332/M332</f>
        <v>1</v>
      </c>
      <c r="P332" s="20"/>
      <c r="Q332" s="20">
        <f>N332</f>
        <v>3413</v>
      </c>
      <c r="R332" s="24">
        <f t="shared" si="71"/>
        <v>1</v>
      </c>
      <c r="S332" s="15"/>
    </row>
    <row r="333" spans="2:19" ht="145.5" customHeight="1" x14ac:dyDescent="0.3">
      <c r="B333" s="212" t="s">
        <v>557</v>
      </c>
      <c r="C333" s="204" t="s">
        <v>577</v>
      </c>
      <c r="D333" s="166" t="s">
        <v>13</v>
      </c>
      <c r="E333" s="203" t="s">
        <v>578</v>
      </c>
      <c r="F333" s="203"/>
      <c r="G333" s="203"/>
      <c r="H333" s="203"/>
      <c r="I333" s="203"/>
      <c r="J333" s="15" t="s">
        <v>360</v>
      </c>
      <c r="K333" s="16" t="s">
        <v>631</v>
      </c>
      <c r="L333" s="17" t="s">
        <v>363</v>
      </c>
      <c r="M333" s="17" t="s">
        <v>363</v>
      </c>
      <c r="N333" s="17" t="s">
        <v>0</v>
      </c>
      <c r="O333" s="18" t="s">
        <v>0</v>
      </c>
      <c r="P333" s="167"/>
      <c r="Q333" s="20" t="s">
        <v>364</v>
      </c>
      <c r="R333" s="24">
        <f t="shared" si="71"/>
        <v>0.996</v>
      </c>
      <c r="S333" s="15" t="s">
        <v>636</v>
      </c>
    </row>
    <row r="334" spans="2:19" ht="52.5" customHeight="1" x14ac:dyDescent="0.3">
      <c r="B334" s="212"/>
      <c r="C334" s="204"/>
      <c r="D334" s="166" t="s">
        <v>10</v>
      </c>
      <c r="E334" s="166" t="s">
        <v>286</v>
      </c>
      <c r="F334" s="166" t="s">
        <v>237</v>
      </c>
      <c r="G334" s="166" t="s">
        <v>8</v>
      </c>
      <c r="H334" s="166" t="s">
        <v>359</v>
      </c>
      <c r="I334" s="166" t="s">
        <v>5</v>
      </c>
      <c r="J334" s="15" t="s">
        <v>4</v>
      </c>
      <c r="K334" s="16" t="s">
        <v>3</v>
      </c>
      <c r="L334" s="17">
        <v>5000</v>
      </c>
      <c r="M334" s="17">
        <v>5000</v>
      </c>
      <c r="N334" s="17">
        <v>5000</v>
      </c>
      <c r="O334" s="18">
        <v>1</v>
      </c>
      <c r="P334" s="17"/>
      <c r="Q334" s="20">
        <v>4284</v>
      </c>
      <c r="R334" s="24">
        <f t="shared" si="71"/>
        <v>0.85699999999999998</v>
      </c>
      <c r="S334" s="172"/>
    </row>
    <row r="335" spans="2:19" x14ac:dyDescent="0.3">
      <c r="B335" s="119"/>
      <c r="C335" s="51" t="s">
        <v>1</v>
      </c>
      <c r="D335" s="52"/>
      <c r="E335" s="52"/>
      <c r="F335" s="52"/>
      <c r="G335" s="52"/>
      <c r="H335" s="52"/>
      <c r="I335" s="52"/>
      <c r="J335" s="53"/>
      <c r="K335" s="16"/>
      <c r="L335" s="17">
        <f>L330+L334+L332+L328+L326+L324+L322+L320+L318+L316+L314</f>
        <v>78766.899999999994</v>
      </c>
      <c r="M335" s="17">
        <f>M330+M334+M332+M328+M326+M324+M322+M320+M318+M316+M314</f>
        <v>89268.3</v>
      </c>
      <c r="N335" s="17">
        <f>N330+N334+N332+N328+N326+N324+N322+N320+N318+N316+N314</f>
        <v>88384.6</v>
      </c>
      <c r="O335" s="18">
        <f>N335/M335</f>
        <v>0.99</v>
      </c>
      <c r="P335" s="153"/>
      <c r="Q335" s="153">
        <f>Q330+Q334+Q332+Q328+Q326+Q324+Q322+Q320+Q318+Q316+Q314</f>
        <v>80538.7</v>
      </c>
      <c r="R335" s="24">
        <f t="shared" si="71"/>
        <v>0.90200000000000002</v>
      </c>
      <c r="S335" s="15"/>
    </row>
    <row r="336" spans="2:19" ht="117" customHeight="1" x14ac:dyDescent="0.3">
      <c r="B336" s="209" t="s">
        <v>558</v>
      </c>
      <c r="C336" s="211" t="s">
        <v>365</v>
      </c>
      <c r="D336" s="152" t="s">
        <v>13</v>
      </c>
      <c r="E336" s="199" t="s">
        <v>155</v>
      </c>
      <c r="F336" s="199"/>
      <c r="G336" s="199"/>
      <c r="H336" s="199"/>
      <c r="I336" s="199"/>
      <c r="J336" s="147" t="s">
        <v>145</v>
      </c>
      <c r="K336" s="118" t="s">
        <v>146</v>
      </c>
      <c r="L336" s="17">
        <v>386</v>
      </c>
      <c r="M336" s="17">
        <v>386</v>
      </c>
      <c r="N336" s="17" t="s">
        <v>0</v>
      </c>
      <c r="O336" s="17" t="s">
        <v>0</v>
      </c>
      <c r="P336" s="16"/>
      <c r="Q336" s="16">
        <v>386</v>
      </c>
      <c r="R336" s="24">
        <f t="shared" si="71"/>
        <v>1</v>
      </c>
      <c r="S336" s="187"/>
    </row>
    <row r="337" spans="2:19" ht="179.25" customHeight="1" x14ac:dyDescent="0.3">
      <c r="B337" s="209"/>
      <c r="C337" s="211"/>
      <c r="D337" s="21" t="s">
        <v>10</v>
      </c>
      <c r="E337" s="87">
        <v>910</v>
      </c>
      <c r="F337" s="117" t="s">
        <v>148</v>
      </c>
      <c r="G337" s="117" t="s">
        <v>149</v>
      </c>
      <c r="H337" s="117" t="s">
        <v>359</v>
      </c>
      <c r="I337" s="118">
        <v>611</v>
      </c>
      <c r="J337" s="22" t="s">
        <v>4</v>
      </c>
      <c r="K337" s="142" t="s">
        <v>3</v>
      </c>
      <c r="L337" s="45">
        <f>M337</f>
        <v>2000</v>
      </c>
      <c r="M337" s="45">
        <v>2000</v>
      </c>
      <c r="N337" s="45">
        <f t="shared" ref="N337" si="72">M337</f>
        <v>2000</v>
      </c>
      <c r="O337" s="18">
        <v>1</v>
      </c>
      <c r="P337" s="86"/>
      <c r="Q337" s="67">
        <f t="shared" ref="Q337" si="73">N337</f>
        <v>2000</v>
      </c>
      <c r="R337" s="24">
        <f t="shared" si="71"/>
        <v>1</v>
      </c>
      <c r="S337" s="188"/>
    </row>
    <row r="338" spans="2:19" x14ac:dyDescent="0.3">
      <c r="B338" s="101"/>
      <c r="C338" s="51" t="s">
        <v>1</v>
      </c>
      <c r="D338" s="52"/>
      <c r="E338" s="52"/>
      <c r="F338" s="52"/>
      <c r="G338" s="52"/>
      <c r="H338" s="52"/>
      <c r="I338" s="52"/>
      <c r="J338" s="53"/>
      <c r="K338" s="16"/>
      <c r="L338" s="17">
        <f>L337</f>
        <v>2000</v>
      </c>
      <c r="M338" s="17">
        <f t="shared" ref="M338:N338" si="74">M337</f>
        <v>2000</v>
      </c>
      <c r="N338" s="17">
        <f t="shared" si="74"/>
        <v>2000</v>
      </c>
      <c r="O338" s="18">
        <v>1</v>
      </c>
      <c r="P338" s="16"/>
      <c r="Q338" s="17">
        <f>Q337</f>
        <v>2000</v>
      </c>
      <c r="R338" s="24">
        <f t="shared" si="71"/>
        <v>1</v>
      </c>
      <c r="S338" s="15"/>
    </row>
    <row r="339" spans="2:19" s="23" customFormat="1" x14ac:dyDescent="0.3">
      <c r="B339" s="101"/>
      <c r="C339" s="102" t="s">
        <v>2</v>
      </c>
      <c r="D339" s="79"/>
      <c r="E339" s="79"/>
      <c r="F339" s="79"/>
      <c r="G339" s="79"/>
      <c r="H339" s="79"/>
      <c r="I339" s="79"/>
      <c r="J339" s="151"/>
      <c r="K339" s="81"/>
      <c r="L339" s="82">
        <f>L338+L335</f>
        <v>80766.899999999994</v>
      </c>
      <c r="M339" s="82">
        <f t="shared" ref="M339:Q339" si="75">M338+M335</f>
        <v>91268.3</v>
      </c>
      <c r="N339" s="82">
        <f t="shared" si="75"/>
        <v>90384.6</v>
      </c>
      <c r="O339" s="83">
        <v>1</v>
      </c>
      <c r="P339" s="82"/>
      <c r="Q339" s="82">
        <f t="shared" si="75"/>
        <v>82538.7</v>
      </c>
      <c r="R339" s="24">
        <f t="shared" si="71"/>
        <v>0.90400000000000003</v>
      </c>
      <c r="S339" s="85"/>
    </row>
    <row r="340" spans="2:19" ht="28.5" customHeight="1" x14ac:dyDescent="0.3">
      <c r="B340" s="119" t="s">
        <v>369</v>
      </c>
      <c r="C340" s="240" t="s">
        <v>374</v>
      </c>
      <c r="D340" s="240"/>
      <c r="E340" s="240"/>
      <c r="F340" s="240"/>
      <c r="G340" s="240"/>
      <c r="H340" s="240"/>
      <c r="I340" s="240"/>
      <c r="J340" s="240"/>
      <c r="K340" s="240"/>
      <c r="L340" s="240"/>
      <c r="M340" s="240"/>
      <c r="N340" s="240"/>
      <c r="O340" s="240"/>
      <c r="P340" s="240"/>
      <c r="Q340" s="240"/>
      <c r="R340" s="240"/>
      <c r="S340" s="15"/>
    </row>
    <row r="341" spans="2:19" ht="140.25" customHeight="1" x14ac:dyDescent="0.3">
      <c r="B341" s="209" t="s">
        <v>559</v>
      </c>
      <c r="C341" s="211" t="s">
        <v>561</v>
      </c>
      <c r="D341" s="152" t="s">
        <v>13</v>
      </c>
      <c r="E341" s="199" t="s">
        <v>155</v>
      </c>
      <c r="F341" s="199"/>
      <c r="G341" s="199"/>
      <c r="H341" s="199"/>
      <c r="I341" s="199"/>
      <c r="J341" s="147" t="s">
        <v>145</v>
      </c>
      <c r="K341" s="118" t="s">
        <v>146</v>
      </c>
      <c r="L341" s="16">
        <v>386</v>
      </c>
      <c r="M341" s="16">
        <v>386</v>
      </c>
      <c r="N341" s="17" t="s">
        <v>0</v>
      </c>
      <c r="O341" s="17" t="s">
        <v>0</v>
      </c>
      <c r="P341" s="16"/>
      <c r="Q341" s="16">
        <v>386</v>
      </c>
      <c r="R341" s="24">
        <f>Q341/M341</f>
        <v>1</v>
      </c>
      <c r="S341" s="15"/>
    </row>
    <row r="342" spans="2:19" ht="134.25" customHeight="1" x14ac:dyDescent="0.3">
      <c r="B342" s="209"/>
      <c r="C342" s="211"/>
      <c r="D342" s="21" t="s">
        <v>10</v>
      </c>
      <c r="E342" s="118">
        <v>910</v>
      </c>
      <c r="F342" s="117" t="s">
        <v>148</v>
      </c>
      <c r="G342" s="117" t="s">
        <v>149</v>
      </c>
      <c r="H342" s="117" t="s">
        <v>372</v>
      </c>
      <c r="I342" s="118">
        <v>621</v>
      </c>
      <c r="J342" s="22" t="s">
        <v>4</v>
      </c>
      <c r="K342" s="142" t="s">
        <v>3</v>
      </c>
      <c r="L342" s="45">
        <f t="shared" ref="L342" si="76">M342</f>
        <v>1191.4000000000001</v>
      </c>
      <c r="M342" s="45">
        <v>1191.4000000000001</v>
      </c>
      <c r="N342" s="45">
        <f t="shared" ref="N342" si="77">M342</f>
        <v>1191.4000000000001</v>
      </c>
      <c r="O342" s="44">
        <f t="shared" ref="O342" si="78">N342/M342*100</f>
        <v>100</v>
      </c>
      <c r="P342" s="45"/>
      <c r="Q342" s="67">
        <f t="shared" ref="Q342" si="79">N342</f>
        <v>1191.4000000000001</v>
      </c>
      <c r="R342" s="24">
        <f t="shared" ref="R342:R344" si="80">Q342/M342</f>
        <v>1</v>
      </c>
      <c r="S342" s="15"/>
    </row>
    <row r="343" spans="2:19" ht="23.25" customHeight="1" x14ac:dyDescent="0.3">
      <c r="B343" s="119"/>
      <c r="C343" s="51" t="s">
        <v>1</v>
      </c>
      <c r="D343" s="21"/>
      <c r="E343" s="118"/>
      <c r="F343" s="117"/>
      <c r="G343" s="117"/>
      <c r="H343" s="117"/>
      <c r="I343" s="118"/>
      <c r="J343" s="22"/>
      <c r="K343" s="142"/>
      <c r="L343" s="45">
        <f>L342</f>
        <v>1191.4000000000001</v>
      </c>
      <c r="M343" s="45">
        <f t="shared" ref="M343:Q344" si="81">M342</f>
        <v>1191.4000000000001</v>
      </c>
      <c r="N343" s="45">
        <f t="shared" si="81"/>
        <v>1191.4000000000001</v>
      </c>
      <c r="O343" s="45">
        <f t="shared" si="81"/>
        <v>100</v>
      </c>
      <c r="P343" s="45"/>
      <c r="Q343" s="45">
        <f t="shared" si="81"/>
        <v>1191.4000000000001</v>
      </c>
      <c r="R343" s="24">
        <f t="shared" si="80"/>
        <v>1</v>
      </c>
      <c r="S343" s="15"/>
    </row>
    <row r="344" spans="2:19" s="23" customFormat="1" ht="21.75" customHeight="1" x14ac:dyDescent="0.3">
      <c r="B344" s="77"/>
      <c r="C344" s="106" t="s">
        <v>2</v>
      </c>
      <c r="D344" s="178"/>
      <c r="E344" s="84"/>
      <c r="F344" s="125"/>
      <c r="G344" s="125"/>
      <c r="H344" s="125"/>
      <c r="I344" s="84"/>
      <c r="J344" s="179"/>
      <c r="K344" s="180"/>
      <c r="L344" s="104">
        <f>L343</f>
        <v>1191.4000000000001</v>
      </c>
      <c r="M344" s="104">
        <f t="shared" si="81"/>
        <v>1191.4000000000001</v>
      </c>
      <c r="N344" s="104">
        <f t="shared" si="81"/>
        <v>1191.4000000000001</v>
      </c>
      <c r="O344" s="104">
        <f t="shared" si="81"/>
        <v>100</v>
      </c>
      <c r="P344" s="104"/>
      <c r="Q344" s="104">
        <f t="shared" si="81"/>
        <v>1191.4000000000001</v>
      </c>
      <c r="R344" s="24">
        <f t="shared" si="80"/>
        <v>1</v>
      </c>
      <c r="S344" s="85"/>
    </row>
    <row r="345" spans="2:19" ht="33" customHeight="1" x14ac:dyDescent="0.3">
      <c r="B345" s="119" t="s">
        <v>370</v>
      </c>
      <c r="C345" s="259" t="s">
        <v>375</v>
      </c>
      <c r="D345" s="260"/>
      <c r="E345" s="260"/>
      <c r="F345" s="260"/>
      <c r="G345" s="260"/>
      <c r="H345" s="260"/>
      <c r="I345" s="260"/>
      <c r="J345" s="260"/>
      <c r="K345" s="261"/>
      <c r="L345" s="102"/>
      <c r="M345" s="102"/>
      <c r="N345" s="102"/>
      <c r="O345" s="102"/>
      <c r="P345" s="102"/>
      <c r="Q345" s="67"/>
      <c r="R345" s="24"/>
      <c r="S345" s="15"/>
    </row>
    <row r="346" spans="2:19" ht="34.5" customHeight="1" x14ac:dyDescent="0.3">
      <c r="B346" s="209" t="s">
        <v>560</v>
      </c>
      <c r="C346" s="197" t="s">
        <v>382</v>
      </c>
      <c r="D346" s="117" t="s">
        <v>13</v>
      </c>
      <c r="E346" s="196" t="s">
        <v>381</v>
      </c>
      <c r="F346" s="199"/>
      <c r="G346" s="199"/>
      <c r="H346" s="199"/>
      <c r="I346" s="199"/>
      <c r="J346" s="146" t="s">
        <v>380</v>
      </c>
      <c r="K346" s="118" t="s">
        <v>105</v>
      </c>
      <c r="L346" s="45">
        <v>150</v>
      </c>
      <c r="M346" s="45" t="s">
        <v>379</v>
      </c>
      <c r="N346" s="125" t="s">
        <v>0</v>
      </c>
      <c r="O346" s="125" t="s">
        <v>0</v>
      </c>
      <c r="P346" s="118"/>
      <c r="Q346" s="45" t="s">
        <v>379</v>
      </c>
      <c r="R346" s="24">
        <f t="shared" ref="R346:R349" si="82">Q346/M346</f>
        <v>1</v>
      </c>
      <c r="S346" s="15"/>
    </row>
    <row r="347" spans="2:19" ht="38.25" customHeight="1" x14ac:dyDescent="0.3">
      <c r="B347" s="210"/>
      <c r="C347" s="197"/>
      <c r="D347" s="141" t="s">
        <v>10</v>
      </c>
      <c r="E347" s="117" t="s">
        <v>378</v>
      </c>
      <c r="F347" s="117" t="s">
        <v>8</v>
      </c>
      <c r="G347" s="117" t="s">
        <v>100</v>
      </c>
      <c r="H347" s="117" t="s">
        <v>377</v>
      </c>
      <c r="I347" s="117" t="s">
        <v>150</v>
      </c>
      <c r="J347" s="146" t="s">
        <v>4</v>
      </c>
      <c r="K347" s="118" t="s">
        <v>3</v>
      </c>
      <c r="L347" s="50">
        <v>1500</v>
      </c>
      <c r="M347" s="50">
        <v>1500</v>
      </c>
      <c r="N347" s="50">
        <v>1500</v>
      </c>
      <c r="O347" s="24">
        <v>1</v>
      </c>
      <c r="P347" s="118"/>
      <c r="Q347" s="50">
        <v>1500</v>
      </c>
      <c r="R347" s="24">
        <f t="shared" si="82"/>
        <v>1</v>
      </c>
      <c r="S347" s="15"/>
    </row>
    <row r="348" spans="2:19" ht="16.5" customHeight="1" x14ac:dyDescent="0.3">
      <c r="B348" s="154"/>
      <c r="C348" s="51" t="s">
        <v>1</v>
      </c>
      <c r="D348" s="141"/>
      <c r="E348" s="117"/>
      <c r="F348" s="117"/>
      <c r="G348" s="117"/>
      <c r="H348" s="117"/>
      <c r="I348" s="117"/>
      <c r="J348" s="146"/>
      <c r="K348" s="118"/>
      <c r="L348" s="50">
        <f>L347</f>
        <v>1500</v>
      </c>
      <c r="M348" s="50">
        <f t="shared" ref="M348:Q349" si="83">M347</f>
        <v>1500</v>
      </c>
      <c r="N348" s="50">
        <f t="shared" si="83"/>
        <v>1500</v>
      </c>
      <c r="O348" s="24">
        <v>1</v>
      </c>
      <c r="P348" s="50"/>
      <c r="Q348" s="50">
        <f t="shared" si="83"/>
        <v>1500</v>
      </c>
      <c r="R348" s="24">
        <f t="shared" si="82"/>
        <v>1</v>
      </c>
      <c r="S348" s="15"/>
    </row>
    <row r="349" spans="2:19" s="23" customFormat="1" x14ac:dyDescent="0.3">
      <c r="B349" s="77"/>
      <c r="C349" s="106" t="s">
        <v>2</v>
      </c>
      <c r="D349" s="79"/>
      <c r="E349" s="79"/>
      <c r="F349" s="79"/>
      <c r="G349" s="79"/>
      <c r="H349" s="79"/>
      <c r="I349" s="79"/>
      <c r="J349" s="151"/>
      <c r="K349" s="81"/>
      <c r="L349" s="96">
        <f>L348</f>
        <v>1500</v>
      </c>
      <c r="M349" s="96">
        <f t="shared" si="83"/>
        <v>1500</v>
      </c>
      <c r="N349" s="96">
        <f t="shared" si="83"/>
        <v>1500</v>
      </c>
      <c r="O349" s="132">
        <v>1</v>
      </c>
      <c r="P349" s="96"/>
      <c r="Q349" s="96">
        <f t="shared" si="83"/>
        <v>1500</v>
      </c>
      <c r="R349" s="24">
        <f t="shared" si="82"/>
        <v>1</v>
      </c>
      <c r="S349" s="85"/>
    </row>
    <row r="350" spans="2:19" ht="18.75" customHeight="1" x14ac:dyDescent="0.3">
      <c r="B350" s="119" t="s">
        <v>371</v>
      </c>
      <c r="C350" s="242" t="s">
        <v>562</v>
      </c>
      <c r="D350" s="243"/>
      <c r="E350" s="243"/>
      <c r="F350" s="243"/>
      <c r="G350" s="243"/>
      <c r="H350" s="243"/>
      <c r="I350" s="243"/>
      <c r="J350" s="243"/>
      <c r="K350" s="258"/>
      <c r="L350" s="91"/>
      <c r="M350" s="91"/>
      <c r="N350" s="91"/>
      <c r="O350" s="91"/>
      <c r="P350" s="91"/>
      <c r="Q350" s="91"/>
      <c r="R350" s="91"/>
      <c r="S350" s="91"/>
    </row>
    <row r="351" spans="2:19" ht="84.75" customHeight="1" x14ac:dyDescent="0.3">
      <c r="B351" s="209" t="s">
        <v>563</v>
      </c>
      <c r="C351" s="201" t="s">
        <v>565</v>
      </c>
      <c r="D351" s="117" t="s">
        <v>13</v>
      </c>
      <c r="E351" s="199" t="s">
        <v>214</v>
      </c>
      <c r="F351" s="199"/>
      <c r="G351" s="199"/>
      <c r="H351" s="199"/>
      <c r="I351" s="199"/>
      <c r="J351" s="147" t="s">
        <v>307</v>
      </c>
      <c r="K351" s="118" t="s">
        <v>146</v>
      </c>
      <c r="L351" s="44">
        <v>600</v>
      </c>
      <c r="M351" s="44">
        <v>600</v>
      </c>
      <c r="N351" s="45" t="s">
        <v>0</v>
      </c>
      <c r="O351" s="44" t="s">
        <v>0</v>
      </c>
      <c r="P351" s="44"/>
      <c r="Q351" s="44">
        <v>654</v>
      </c>
      <c r="R351" s="24">
        <f t="shared" ref="R351:R353" si="84">Q351/M351</f>
        <v>1.0900000000000001</v>
      </c>
      <c r="S351" s="124"/>
    </row>
    <row r="352" spans="2:19" ht="66" customHeight="1" x14ac:dyDescent="0.3">
      <c r="B352" s="209"/>
      <c r="C352" s="201"/>
      <c r="D352" s="117" t="s">
        <v>10</v>
      </c>
      <c r="E352" s="87">
        <v>901</v>
      </c>
      <c r="F352" s="117" t="s">
        <v>197</v>
      </c>
      <c r="G352" s="117" t="s">
        <v>8</v>
      </c>
      <c r="H352" s="117" t="s">
        <v>373</v>
      </c>
      <c r="I352" s="87">
        <v>611</v>
      </c>
      <c r="J352" s="147" t="s">
        <v>4</v>
      </c>
      <c r="K352" s="118" t="s">
        <v>3</v>
      </c>
      <c r="L352" s="45">
        <v>2620</v>
      </c>
      <c r="M352" s="45">
        <v>2620</v>
      </c>
      <c r="N352" s="45">
        <f>M352</f>
        <v>2620</v>
      </c>
      <c r="O352" s="24">
        <v>1</v>
      </c>
      <c r="P352" s="86"/>
      <c r="Q352" s="45">
        <v>1740.9</v>
      </c>
      <c r="R352" s="24">
        <f t="shared" si="84"/>
        <v>0.66400000000000003</v>
      </c>
      <c r="S352" s="86" t="s">
        <v>641</v>
      </c>
    </row>
    <row r="353" spans="2:19" x14ac:dyDescent="0.3">
      <c r="B353" s="119"/>
      <c r="C353" s="51" t="s">
        <v>1</v>
      </c>
      <c r="D353" s="52"/>
      <c r="E353" s="52"/>
      <c r="F353" s="52"/>
      <c r="G353" s="52"/>
      <c r="H353" s="52"/>
      <c r="I353" s="52"/>
      <c r="J353" s="53"/>
      <c r="K353" s="16"/>
      <c r="L353" s="131">
        <f>L352</f>
        <v>2620</v>
      </c>
      <c r="M353" s="131">
        <f t="shared" ref="M353:Q353" si="85">M352</f>
        <v>2620</v>
      </c>
      <c r="N353" s="131">
        <f t="shared" si="85"/>
        <v>2620</v>
      </c>
      <c r="O353" s="24">
        <f>N353/M353</f>
        <v>1</v>
      </c>
      <c r="P353" s="131"/>
      <c r="Q353" s="131">
        <f t="shared" si="85"/>
        <v>1740.9</v>
      </c>
      <c r="R353" s="24">
        <f t="shared" si="84"/>
        <v>0.66400000000000003</v>
      </c>
      <c r="S353" s="15"/>
    </row>
    <row r="354" spans="2:19" ht="31.5" x14ac:dyDescent="0.3">
      <c r="B354" s="209" t="s">
        <v>564</v>
      </c>
      <c r="C354" s="197" t="s">
        <v>565</v>
      </c>
      <c r="D354" s="117" t="s">
        <v>13</v>
      </c>
      <c r="E354" s="199" t="s">
        <v>214</v>
      </c>
      <c r="F354" s="199"/>
      <c r="G354" s="199"/>
      <c r="H354" s="199"/>
      <c r="I354" s="199"/>
      <c r="J354" s="146" t="s">
        <v>307</v>
      </c>
      <c r="K354" s="118" t="s">
        <v>146</v>
      </c>
      <c r="L354" s="50">
        <v>138</v>
      </c>
      <c r="M354" s="50">
        <v>132</v>
      </c>
      <c r="N354" s="45" t="s">
        <v>0</v>
      </c>
      <c r="O354" s="44" t="s">
        <v>0</v>
      </c>
      <c r="P354" s="118"/>
      <c r="Q354" s="50">
        <v>127</v>
      </c>
      <c r="R354" s="24">
        <f>Q354/M354</f>
        <v>0.96199999999999997</v>
      </c>
      <c r="S354" s="15"/>
    </row>
    <row r="355" spans="2:19" ht="118.5" customHeight="1" x14ac:dyDescent="0.3">
      <c r="B355" s="209"/>
      <c r="C355" s="197"/>
      <c r="D355" s="117" t="s">
        <v>10</v>
      </c>
      <c r="E355" s="117" t="s">
        <v>290</v>
      </c>
      <c r="F355" s="117" t="s">
        <v>197</v>
      </c>
      <c r="G355" s="117" t="s">
        <v>8</v>
      </c>
      <c r="H355" s="117" t="s">
        <v>373</v>
      </c>
      <c r="I355" s="117" t="s">
        <v>5</v>
      </c>
      <c r="J355" s="146" t="s">
        <v>4</v>
      </c>
      <c r="K355" s="118" t="s">
        <v>3</v>
      </c>
      <c r="L355" s="50">
        <v>912.5</v>
      </c>
      <c r="M355" s="50">
        <v>912.5</v>
      </c>
      <c r="N355" s="50">
        <v>912.5</v>
      </c>
      <c r="O355" s="24">
        <v>1</v>
      </c>
      <c r="P355" s="118"/>
      <c r="Q355" s="50">
        <v>912.5</v>
      </c>
      <c r="R355" s="24">
        <f t="shared" ref="R355:R388" si="86">Q355/M355</f>
        <v>1</v>
      </c>
      <c r="S355" s="15"/>
    </row>
    <row r="356" spans="2:19" ht="47.25" customHeight="1" x14ac:dyDescent="0.3">
      <c r="B356" s="209" t="s">
        <v>566</v>
      </c>
      <c r="C356" s="197" t="s">
        <v>633</v>
      </c>
      <c r="D356" s="117" t="s">
        <v>13</v>
      </c>
      <c r="E356" s="199" t="s">
        <v>324</v>
      </c>
      <c r="F356" s="199"/>
      <c r="G356" s="199"/>
      <c r="H356" s="199"/>
      <c r="I356" s="199"/>
      <c r="J356" s="146" t="s">
        <v>300</v>
      </c>
      <c r="K356" s="118" t="s">
        <v>146</v>
      </c>
      <c r="L356" s="50">
        <v>2500</v>
      </c>
      <c r="M356" s="50">
        <v>2500</v>
      </c>
      <c r="N356" s="45" t="s">
        <v>0</v>
      </c>
      <c r="O356" s="44" t="s">
        <v>0</v>
      </c>
      <c r="P356" s="44"/>
      <c r="Q356" s="45">
        <v>2500</v>
      </c>
      <c r="R356" s="24">
        <f t="shared" si="86"/>
        <v>1</v>
      </c>
      <c r="S356" s="15"/>
    </row>
    <row r="357" spans="2:19" ht="53.25" customHeight="1" x14ac:dyDescent="0.3">
      <c r="B357" s="209"/>
      <c r="C357" s="197"/>
      <c r="D357" s="117" t="s">
        <v>10</v>
      </c>
      <c r="E357" s="117" t="s">
        <v>290</v>
      </c>
      <c r="F357" s="117" t="s">
        <v>291</v>
      </c>
      <c r="G357" s="117" t="s">
        <v>131</v>
      </c>
      <c r="H357" s="117" t="s">
        <v>373</v>
      </c>
      <c r="I357" s="117" t="s">
        <v>5</v>
      </c>
      <c r="J357" s="146" t="s">
        <v>4</v>
      </c>
      <c r="K357" s="118" t="s">
        <v>3</v>
      </c>
      <c r="L357" s="50">
        <v>7602.9</v>
      </c>
      <c r="M357" s="50">
        <v>7602.9</v>
      </c>
      <c r="N357" s="50">
        <v>7602.9</v>
      </c>
      <c r="O357" s="24">
        <v>1</v>
      </c>
      <c r="P357" s="44"/>
      <c r="Q357" s="50">
        <v>7602.9</v>
      </c>
      <c r="R357" s="24">
        <f t="shared" si="86"/>
        <v>1</v>
      </c>
      <c r="S357" s="15"/>
    </row>
    <row r="358" spans="2:19" ht="31.5" customHeight="1" x14ac:dyDescent="0.3">
      <c r="B358" s="209" t="s">
        <v>583</v>
      </c>
      <c r="C358" s="197" t="s">
        <v>634</v>
      </c>
      <c r="D358" s="117" t="s">
        <v>13</v>
      </c>
      <c r="E358" s="196" t="s">
        <v>327</v>
      </c>
      <c r="F358" s="196"/>
      <c r="G358" s="196"/>
      <c r="H358" s="196"/>
      <c r="I358" s="196"/>
      <c r="J358" s="146" t="s">
        <v>309</v>
      </c>
      <c r="K358" s="118" t="s">
        <v>67</v>
      </c>
      <c r="L358" s="50">
        <v>1</v>
      </c>
      <c r="M358" s="50">
        <v>1</v>
      </c>
      <c r="N358" s="45" t="s">
        <v>0</v>
      </c>
      <c r="O358" s="44" t="s">
        <v>0</v>
      </c>
      <c r="P358" s="118"/>
      <c r="Q358" s="45">
        <v>1</v>
      </c>
      <c r="R358" s="24">
        <f t="shared" si="86"/>
        <v>1</v>
      </c>
      <c r="S358" s="15"/>
    </row>
    <row r="359" spans="2:19" ht="79.5" customHeight="1" x14ac:dyDescent="0.3">
      <c r="B359" s="209"/>
      <c r="C359" s="197"/>
      <c r="D359" s="117" t="s">
        <v>10</v>
      </c>
      <c r="E359" s="117" t="s">
        <v>290</v>
      </c>
      <c r="F359" s="117" t="s">
        <v>291</v>
      </c>
      <c r="G359" s="117" t="s">
        <v>131</v>
      </c>
      <c r="H359" s="117" t="s">
        <v>373</v>
      </c>
      <c r="I359" s="117" t="s">
        <v>150</v>
      </c>
      <c r="J359" s="146" t="s">
        <v>4</v>
      </c>
      <c r="K359" s="118" t="s">
        <v>3</v>
      </c>
      <c r="L359" s="50">
        <v>2054</v>
      </c>
      <c r="M359" s="50">
        <v>2054</v>
      </c>
      <c r="N359" s="50">
        <v>2054</v>
      </c>
      <c r="O359" s="24">
        <v>1</v>
      </c>
      <c r="P359" s="118"/>
      <c r="Q359" s="45">
        <f>N359</f>
        <v>2054</v>
      </c>
      <c r="R359" s="24">
        <f t="shared" si="86"/>
        <v>1</v>
      </c>
      <c r="S359" s="15"/>
    </row>
    <row r="360" spans="2:19" x14ac:dyDescent="0.3">
      <c r="B360" s="119"/>
      <c r="C360" s="51" t="s">
        <v>1</v>
      </c>
      <c r="D360" s="117"/>
      <c r="E360" s="117"/>
      <c r="F360" s="117"/>
      <c r="G360" s="117"/>
      <c r="H360" s="117"/>
      <c r="I360" s="117"/>
      <c r="J360" s="146"/>
      <c r="K360" s="118"/>
      <c r="L360" s="50">
        <f>L359+L357+L355</f>
        <v>10569.4</v>
      </c>
      <c r="M360" s="50">
        <f t="shared" ref="M360:N360" si="87">M359+M357+M355</f>
        <v>10569.4</v>
      </c>
      <c r="N360" s="50">
        <f t="shared" si="87"/>
        <v>10569.4</v>
      </c>
      <c r="O360" s="24">
        <v>1</v>
      </c>
      <c r="P360" s="118"/>
      <c r="Q360" s="50">
        <f>Q359+Q357+Q355</f>
        <v>10569.4</v>
      </c>
      <c r="R360" s="24">
        <f t="shared" si="86"/>
        <v>1</v>
      </c>
      <c r="S360" s="15"/>
    </row>
    <row r="361" spans="2:19" ht="54" customHeight="1" x14ac:dyDescent="0.3">
      <c r="B361" s="119" t="s">
        <v>584</v>
      </c>
      <c r="C361" s="143" t="s">
        <v>198</v>
      </c>
      <c r="D361" s="117" t="s">
        <v>13</v>
      </c>
      <c r="E361" s="199" t="s">
        <v>199</v>
      </c>
      <c r="F361" s="199"/>
      <c r="G361" s="199"/>
      <c r="H361" s="199"/>
      <c r="I361" s="199"/>
      <c r="J361" s="147" t="s">
        <v>195</v>
      </c>
      <c r="K361" s="118" t="s">
        <v>200</v>
      </c>
      <c r="L361" s="44">
        <v>655</v>
      </c>
      <c r="M361" s="44">
        <v>655</v>
      </c>
      <c r="N361" s="45" t="s">
        <v>29</v>
      </c>
      <c r="O361" s="44" t="s">
        <v>0</v>
      </c>
      <c r="P361" s="44"/>
      <c r="Q361" s="44">
        <v>651</v>
      </c>
      <c r="R361" s="24">
        <f t="shared" si="86"/>
        <v>0.99399999999999999</v>
      </c>
      <c r="S361" s="15"/>
    </row>
    <row r="362" spans="2:19" ht="31.5" x14ac:dyDescent="0.3">
      <c r="B362" s="209" t="s">
        <v>585</v>
      </c>
      <c r="C362" s="222" t="s">
        <v>202</v>
      </c>
      <c r="D362" s="117" t="s">
        <v>13</v>
      </c>
      <c r="E362" s="196" t="s">
        <v>203</v>
      </c>
      <c r="F362" s="196"/>
      <c r="G362" s="196"/>
      <c r="H362" s="196"/>
      <c r="I362" s="196"/>
      <c r="J362" s="146" t="s">
        <v>195</v>
      </c>
      <c r="K362" s="118" t="s">
        <v>146</v>
      </c>
      <c r="L362" s="123">
        <v>340</v>
      </c>
      <c r="M362" s="123">
        <v>340</v>
      </c>
      <c r="N362" s="45" t="s">
        <v>0</v>
      </c>
      <c r="O362" s="44" t="s">
        <v>0</v>
      </c>
      <c r="P362" s="118"/>
      <c r="Q362" s="45">
        <f>319-9</f>
        <v>310</v>
      </c>
      <c r="R362" s="24">
        <f t="shared" si="86"/>
        <v>0.91200000000000003</v>
      </c>
      <c r="S362" s="15"/>
    </row>
    <row r="363" spans="2:19" ht="31.5" x14ac:dyDescent="0.3">
      <c r="B363" s="209"/>
      <c r="C363" s="222"/>
      <c r="D363" s="117" t="s">
        <v>10</v>
      </c>
      <c r="E363" s="52">
        <v>903</v>
      </c>
      <c r="F363" s="117" t="s">
        <v>197</v>
      </c>
      <c r="G363" s="117" t="s">
        <v>149</v>
      </c>
      <c r="H363" s="117" t="s">
        <v>373</v>
      </c>
      <c r="I363" s="52">
        <v>611</v>
      </c>
      <c r="J363" s="146" t="s">
        <v>4</v>
      </c>
      <c r="K363" s="118" t="s">
        <v>3</v>
      </c>
      <c r="L363" s="17">
        <v>2971.6</v>
      </c>
      <c r="M363" s="17">
        <v>2971.6</v>
      </c>
      <c r="N363" s="17">
        <v>2971.6</v>
      </c>
      <c r="O363" s="46">
        <f t="shared" ref="O363" si="88">N363/M363</f>
        <v>1</v>
      </c>
      <c r="P363" s="118"/>
      <c r="Q363" s="17">
        <f>N363</f>
        <v>2971.6</v>
      </c>
      <c r="R363" s="24">
        <f t="shared" si="86"/>
        <v>1</v>
      </c>
      <c r="S363" s="15"/>
    </row>
    <row r="364" spans="2:19" ht="31.5" x14ac:dyDescent="0.3">
      <c r="B364" s="209" t="s">
        <v>586</v>
      </c>
      <c r="C364" s="197" t="s">
        <v>204</v>
      </c>
      <c r="D364" s="117" t="s">
        <v>13</v>
      </c>
      <c r="E364" s="196" t="s">
        <v>205</v>
      </c>
      <c r="F364" s="196"/>
      <c r="G364" s="196"/>
      <c r="H364" s="196"/>
      <c r="I364" s="196"/>
      <c r="J364" s="146" t="s">
        <v>206</v>
      </c>
      <c r="K364" s="118" t="s">
        <v>200</v>
      </c>
      <c r="L364" s="123">
        <v>382160</v>
      </c>
      <c r="M364" s="123">
        <v>382160</v>
      </c>
      <c r="N364" s="45" t="s">
        <v>0</v>
      </c>
      <c r="O364" s="44" t="s">
        <v>0</v>
      </c>
      <c r="P364" s="118"/>
      <c r="Q364" s="123">
        <v>381597</v>
      </c>
      <c r="R364" s="24">
        <f t="shared" si="86"/>
        <v>0.999</v>
      </c>
      <c r="S364" s="15"/>
    </row>
    <row r="365" spans="2:19" ht="31.5" x14ac:dyDescent="0.3">
      <c r="B365" s="209"/>
      <c r="C365" s="197"/>
      <c r="D365" s="117" t="s">
        <v>10</v>
      </c>
      <c r="E365" s="52">
        <v>903</v>
      </c>
      <c r="F365" s="117" t="s">
        <v>197</v>
      </c>
      <c r="G365" s="117" t="s">
        <v>221</v>
      </c>
      <c r="H365" s="117" t="s">
        <v>373</v>
      </c>
      <c r="I365" s="52">
        <v>611</v>
      </c>
      <c r="J365" s="146" t="s">
        <v>4</v>
      </c>
      <c r="K365" s="118" t="s">
        <v>3</v>
      </c>
      <c r="L365" s="123">
        <v>594.20000000000005</v>
      </c>
      <c r="M365" s="123">
        <v>594.20000000000005</v>
      </c>
      <c r="N365" s="123">
        <v>594.20000000000005</v>
      </c>
      <c r="O365" s="46">
        <v>1</v>
      </c>
      <c r="P365" s="118"/>
      <c r="Q365" s="123">
        <v>594.20000000000005</v>
      </c>
      <c r="R365" s="24">
        <f t="shared" si="86"/>
        <v>1</v>
      </c>
      <c r="S365" s="15"/>
    </row>
    <row r="366" spans="2:19" ht="31.5" x14ac:dyDescent="0.3">
      <c r="B366" s="209"/>
      <c r="C366" s="197"/>
      <c r="D366" s="117" t="s">
        <v>10</v>
      </c>
      <c r="E366" s="52">
        <v>903</v>
      </c>
      <c r="F366" s="117" t="s">
        <v>197</v>
      </c>
      <c r="G366" s="117" t="s">
        <v>221</v>
      </c>
      <c r="H366" s="117" t="s">
        <v>373</v>
      </c>
      <c r="I366" s="52">
        <v>621</v>
      </c>
      <c r="J366" s="146" t="s">
        <v>4</v>
      </c>
      <c r="K366" s="118" t="s">
        <v>3</v>
      </c>
      <c r="L366" s="123">
        <f>2057.1-171</f>
        <v>1886.1</v>
      </c>
      <c r="M366" s="123">
        <f t="shared" ref="M366:N366" si="89">2057.1-171</f>
        <v>1886.1</v>
      </c>
      <c r="N366" s="123">
        <f t="shared" si="89"/>
        <v>1886.1</v>
      </c>
      <c r="O366" s="46">
        <v>1</v>
      </c>
      <c r="P366" s="123"/>
      <c r="Q366" s="123">
        <f>2057.1-171</f>
        <v>1886.1</v>
      </c>
      <c r="R366" s="24">
        <f t="shared" si="86"/>
        <v>1</v>
      </c>
      <c r="S366" s="15"/>
    </row>
    <row r="367" spans="2:19" ht="31.5" x14ac:dyDescent="0.3">
      <c r="B367" s="209" t="s">
        <v>587</v>
      </c>
      <c r="C367" s="197" t="s">
        <v>218</v>
      </c>
      <c r="D367" s="117" t="s">
        <v>13</v>
      </c>
      <c r="E367" s="196" t="s">
        <v>219</v>
      </c>
      <c r="F367" s="196"/>
      <c r="G367" s="196"/>
      <c r="H367" s="196"/>
      <c r="I367" s="196"/>
      <c r="J367" s="146" t="s">
        <v>220</v>
      </c>
      <c r="K367" s="118" t="s">
        <v>200</v>
      </c>
      <c r="L367" s="123">
        <v>864</v>
      </c>
      <c r="M367" s="123">
        <v>864</v>
      </c>
      <c r="N367" s="45" t="s">
        <v>0</v>
      </c>
      <c r="O367" s="44" t="s">
        <v>0</v>
      </c>
      <c r="P367" s="118"/>
      <c r="Q367" s="45">
        <v>864</v>
      </c>
      <c r="R367" s="24">
        <f t="shared" si="86"/>
        <v>1</v>
      </c>
      <c r="S367" s="15"/>
    </row>
    <row r="368" spans="2:19" ht="31.5" x14ac:dyDescent="0.3">
      <c r="B368" s="209"/>
      <c r="C368" s="197"/>
      <c r="D368" s="117" t="s">
        <v>10</v>
      </c>
      <c r="E368" s="52">
        <v>903</v>
      </c>
      <c r="F368" s="117" t="s">
        <v>197</v>
      </c>
      <c r="G368" s="117" t="s">
        <v>221</v>
      </c>
      <c r="H368" s="117" t="s">
        <v>373</v>
      </c>
      <c r="I368" s="52">
        <v>621</v>
      </c>
      <c r="J368" s="146" t="s">
        <v>4</v>
      </c>
      <c r="K368" s="118" t="s">
        <v>3</v>
      </c>
      <c r="L368" s="123">
        <v>171</v>
      </c>
      <c r="M368" s="123">
        <v>171</v>
      </c>
      <c r="N368" s="123">
        <v>171</v>
      </c>
      <c r="O368" s="46">
        <v>1</v>
      </c>
      <c r="P368" s="118"/>
      <c r="Q368" s="123">
        <v>171</v>
      </c>
      <c r="R368" s="24">
        <f t="shared" si="86"/>
        <v>1</v>
      </c>
      <c r="S368" s="15"/>
    </row>
    <row r="369" spans="2:19" ht="81" customHeight="1" x14ac:dyDescent="0.3">
      <c r="B369" s="119" t="s">
        <v>588</v>
      </c>
      <c r="C369" s="120" t="s">
        <v>489</v>
      </c>
      <c r="D369" s="117" t="s">
        <v>13</v>
      </c>
      <c r="E369" s="196" t="s">
        <v>214</v>
      </c>
      <c r="F369" s="196"/>
      <c r="G369" s="196"/>
      <c r="H369" s="196"/>
      <c r="I369" s="196"/>
      <c r="J369" s="146" t="s">
        <v>215</v>
      </c>
      <c r="K369" s="118" t="s">
        <v>146</v>
      </c>
      <c r="L369" s="123">
        <v>2736</v>
      </c>
      <c r="M369" s="123">
        <v>2736</v>
      </c>
      <c r="N369" s="45" t="s">
        <v>0</v>
      </c>
      <c r="O369" s="44" t="s">
        <v>0</v>
      </c>
      <c r="P369" s="118"/>
      <c r="Q369" s="123">
        <v>2782</v>
      </c>
      <c r="R369" s="24">
        <f t="shared" si="86"/>
        <v>1.0169999999999999</v>
      </c>
      <c r="S369" s="15"/>
    </row>
    <row r="370" spans="2:19" ht="31.5" x14ac:dyDescent="0.3">
      <c r="B370" s="209" t="s">
        <v>589</v>
      </c>
      <c r="C370" s="197" t="s">
        <v>490</v>
      </c>
      <c r="D370" s="117" t="s">
        <v>13</v>
      </c>
      <c r="E370" s="196" t="s">
        <v>217</v>
      </c>
      <c r="F370" s="196"/>
      <c r="G370" s="196"/>
      <c r="H370" s="196"/>
      <c r="I370" s="196"/>
      <c r="J370" s="146" t="s">
        <v>215</v>
      </c>
      <c r="K370" s="118" t="s">
        <v>146</v>
      </c>
      <c r="L370" s="123">
        <v>1455</v>
      </c>
      <c r="M370" s="123">
        <v>1455</v>
      </c>
      <c r="N370" s="45" t="s">
        <v>0</v>
      </c>
      <c r="O370" s="44" t="s">
        <v>0</v>
      </c>
      <c r="P370" s="118"/>
      <c r="Q370" s="123">
        <v>1456</v>
      </c>
      <c r="R370" s="24">
        <f t="shared" si="86"/>
        <v>1.0009999999999999</v>
      </c>
      <c r="S370" s="15"/>
    </row>
    <row r="371" spans="2:19" ht="31.5" x14ac:dyDescent="0.3">
      <c r="B371" s="209"/>
      <c r="C371" s="197"/>
      <c r="D371" s="117" t="s">
        <v>10</v>
      </c>
      <c r="E371" s="52">
        <v>903</v>
      </c>
      <c r="F371" s="117" t="s">
        <v>197</v>
      </c>
      <c r="G371" s="117" t="s">
        <v>8</v>
      </c>
      <c r="H371" s="117" t="s">
        <v>373</v>
      </c>
      <c r="I371" s="52">
        <v>611</v>
      </c>
      <c r="J371" s="146" t="s">
        <v>4</v>
      </c>
      <c r="K371" s="118" t="s">
        <v>3</v>
      </c>
      <c r="L371" s="123">
        <v>9178.7999999999993</v>
      </c>
      <c r="M371" s="123">
        <v>9178.7999999999993</v>
      </c>
      <c r="N371" s="123">
        <v>9178.7999999999993</v>
      </c>
      <c r="O371" s="46">
        <v>1</v>
      </c>
      <c r="P371" s="118"/>
      <c r="Q371" s="123">
        <v>9178.7999999999993</v>
      </c>
      <c r="R371" s="24">
        <f t="shared" si="86"/>
        <v>1</v>
      </c>
      <c r="S371" s="15"/>
    </row>
    <row r="372" spans="2:19" ht="31.5" x14ac:dyDescent="0.3">
      <c r="B372" s="209"/>
      <c r="C372" s="197"/>
      <c r="D372" s="117" t="s">
        <v>10</v>
      </c>
      <c r="E372" s="52">
        <v>903</v>
      </c>
      <c r="F372" s="117" t="s">
        <v>197</v>
      </c>
      <c r="G372" s="117" t="s">
        <v>8</v>
      </c>
      <c r="H372" s="117" t="s">
        <v>373</v>
      </c>
      <c r="I372" s="52">
        <v>621</v>
      </c>
      <c r="J372" s="146" t="s">
        <v>4</v>
      </c>
      <c r="K372" s="118" t="s">
        <v>3</v>
      </c>
      <c r="L372" s="123">
        <v>5219.8999999999996</v>
      </c>
      <c r="M372" s="123">
        <v>5219.8999999999996</v>
      </c>
      <c r="N372" s="123">
        <v>5219.8999999999996</v>
      </c>
      <c r="O372" s="46">
        <v>1</v>
      </c>
      <c r="P372" s="118"/>
      <c r="Q372" s="123">
        <v>5219.8999999999996</v>
      </c>
      <c r="R372" s="24">
        <f t="shared" si="86"/>
        <v>1</v>
      </c>
      <c r="S372" s="15"/>
    </row>
    <row r="373" spans="2:19" x14ac:dyDescent="0.3">
      <c r="B373" s="119"/>
      <c r="C373" s="51" t="s">
        <v>1</v>
      </c>
      <c r="D373" s="117"/>
      <c r="E373" s="52"/>
      <c r="F373" s="117"/>
      <c r="G373" s="117"/>
      <c r="H373" s="117"/>
      <c r="I373" s="52"/>
      <c r="J373" s="146"/>
      <c r="K373" s="118"/>
      <c r="L373" s="93">
        <f>L372+L371+L368+L366+L365+L363</f>
        <v>20021.599999999999</v>
      </c>
      <c r="M373" s="93">
        <f t="shared" ref="M373:Q373" si="90">M372+M371+M368+M366+M365+M363</f>
        <v>20021.599999999999</v>
      </c>
      <c r="N373" s="93">
        <f t="shared" si="90"/>
        <v>20021.599999999999</v>
      </c>
      <c r="O373" s="46">
        <v>1</v>
      </c>
      <c r="P373" s="93"/>
      <c r="Q373" s="93">
        <f t="shared" si="90"/>
        <v>20021.599999999999</v>
      </c>
      <c r="R373" s="24">
        <f t="shared" si="86"/>
        <v>1</v>
      </c>
      <c r="S373" s="15"/>
    </row>
    <row r="374" spans="2:19" ht="47.25" x14ac:dyDescent="0.3">
      <c r="B374" s="209" t="s">
        <v>590</v>
      </c>
      <c r="C374" s="197" t="s">
        <v>162</v>
      </c>
      <c r="D374" s="117" t="s">
        <v>13</v>
      </c>
      <c r="E374" s="196" t="s">
        <v>163</v>
      </c>
      <c r="F374" s="196"/>
      <c r="G374" s="196"/>
      <c r="H374" s="196"/>
      <c r="I374" s="196"/>
      <c r="J374" s="146" t="s">
        <v>164</v>
      </c>
      <c r="K374" s="118" t="s">
        <v>11</v>
      </c>
      <c r="L374" s="44">
        <v>126</v>
      </c>
      <c r="M374" s="44">
        <v>126</v>
      </c>
      <c r="N374" s="45" t="s">
        <v>0</v>
      </c>
      <c r="O374" s="44" t="s">
        <v>0</v>
      </c>
      <c r="P374" s="44"/>
      <c r="Q374" s="44">
        <v>126</v>
      </c>
      <c r="R374" s="24">
        <f t="shared" si="86"/>
        <v>1</v>
      </c>
      <c r="S374" s="15"/>
    </row>
    <row r="375" spans="2:19" ht="31.5" x14ac:dyDescent="0.3">
      <c r="B375" s="209"/>
      <c r="C375" s="197"/>
      <c r="D375" s="117"/>
      <c r="E375" s="117" t="s">
        <v>147</v>
      </c>
      <c r="F375" s="117" t="s">
        <v>148</v>
      </c>
      <c r="G375" s="117" t="s">
        <v>149</v>
      </c>
      <c r="H375" s="117" t="s">
        <v>373</v>
      </c>
      <c r="I375" s="117" t="s">
        <v>150</v>
      </c>
      <c r="J375" s="146" t="s">
        <v>4</v>
      </c>
      <c r="K375" s="118"/>
      <c r="L375" s="50">
        <f>M375</f>
        <v>260</v>
      </c>
      <c r="M375" s="50">
        <v>260</v>
      </c>
      <c r="N375" s="50">
        <f>M375</f>
        <v>260</v>
      </c>
      <c r="O375" s="46">
        <v>1</v>
      </c>
      <c r="P375" s="118"/>
      <c r="Q375" s="45">
        <f>N375</f>
        <v>260</v>
      </c>
      <c r="R375" s="24">
        <f t="shared" si="86"/>
        <v>1</v>
      </c>
      <c r="S375" s="15"/>
    </row>
    <row r="376" spans="2:19" ht="47.25" x14ac:dyDescent="0.3">
      <c r="B376" s="209" t="s">
        <v>591</v>
      </c>
      <c r="C376" s="198" t="s">
        <v>143</v>
      </c>
      <c r="D376" s="117" t="s">
        <v>13</v>
      </c>
      <c r="E376" s="199" t="s">
        <v>144</v>
      </c>
      <c r="F376" s="199"/>
      <c r="G376" s="199"/>
      <c r="H376" s="199"/>
      <c r="I376" s="199"/>
      <c r="J376" s="147" t="s">
        <v>145</v>
      </c>
      <c r="K376" s="118" t="s">
        <v>146</v>
      </c>
      <c r="L376" s="44">
        <v>932</v>
      </c>
      <c r="M376" s="44">
        <v>932</v>
      </c>
      <c r="N376" s="45" t="s">
        <v>0</v>
      </c>
      <c r="O376" s="44" t="s">
        <v>0</v>
      </c>
      <c r="P376" s="44"/>
      <c r="Q376" s="44">
        <v>984</v>
      </c>
      <c r="R376" s="24">
        <f t="shared" si="86"/>
        <v>1.056</v>
      </c>
      <c r="S376" s="15"/>
    </row>
    <row r="377" spans="2:19" ht="30.75" customHeight="1" x14ac:dyDescent="0.3">
      <c r="B377" s="209"/>
      <c r="C377" s="198"/>
      <c r="D377" s="223" t="s">
        <v>10</v>
      </c>
      <c r="E377" s="117" t="s">
        <v>147</v>
      </c>
      <c r="F377" s="117" t="s">
        <v>148</v>
      </c>
      <c r="G377" s="117" t="s">
        <v>149</v>
      </c>
      <c r="H377" s="117" t="s">
        <v>373</v>
      </c>
      <c r="I377" s="117" t="s">
        <v>150</v>
      </c>
      <c r="J377" s="196" t="s">
        <v>4</v>
      </c>
      <c r="K377" s="118" t="s">
        <v>3</v>
      </c>
      <c r="L377" s="67">
        <f>12+12+79.2+53.1</f>
        <v>156.30000000000001</v>
      </c>
      <c r="M377" s="67">
        <f>12+12+79.2+53.1</f>
        <v>156.30000000000001</v>
      </c>
      <c r="N377" s="45">
        <f>M377</f>
        <v>156.30000000000001</v>
      </c>
      <c r="O377" s="46">
        <v>1</v>
      </c>
      <c r="P377" s="44"/>
      <c r="Q377" s="67">
        <f>N377</f>
        <v>156.30000000000001</v>
      </c>
      <c r="R377" s="24">
        <f t="shared" si="86"/>
        <v>1</v>
      </c>
      <c r="S377" s="15"/>
    </row>
    <row r="378" spans="2:19" x14ac:dyDescent="0.3">
      <c r="B378" s="209"/>
      <c r="C378" s="198"/>
      <c r="D378" s="223"/>
      <c r="E378" s="117" t="s">
        <v>147</v>
      </c>
      <c r="F378" s="117" t="s">
        <v>148</v>
      </c>
      <c r="G378" s="117" t="s">
        <v>149</v>
      </c>
      <c r="H378" s="117" t="s">
        <v>373</v>
      </c>
      <c r="I378" s="117" t="s">
        <v>5</v>
      </c>
      <c r="J378" s="196"/>
      <c r="K378" s="118" t="s">
        <v>3</v>
      </c>
      <c r="L378" s="44">
        <f>M378</f>
        <v>116</v>
      </c>
      <c r="M378" s="67">
        <v>116</v>
      </c>
      <c r="N378" s="45">
        <f t="shared" ref="N378" si="91">M378</f>
        <v>116</v>
      </c>
      <c r="O378" s="46">
        <v>1</v>
      </c>
      <c r="P378" s="44"/>
      <c r="Q378" s="67">
        <f t="shared" ref="Q378" si="92">N378</f>
        <v>116</v>
      </c>
      <c r="R378" s="24">
        <f t="shared" si="86"/>
        <v>1</v>
      </c>
      <c r="S378" s="15"/>
    </row>
    <row r="379" spans="2:19" x14ac:dyDescent="0.3">
      <c r="B379" s="119"/>
      <c r="C379" s="51" t="s">
        <v>1</v>
      </c>
      <c r="D379" s="117"/>
      <c r="E379" s="117"/>
      <c r="F379" s="117"/>
      <c r="G379" s="117"/>
      <c r="H379" s="117"/>
      <c r="I379" s="117"/>
      <c r="J379" s="146"/>
      <c r="K379" s="118"/>
      <c r="L379" s="50">
        <f t="shared" ref="L379:N379" si="93">L378+L377+L375</f>
        <v>532.29999999999995</v>
      </c>
      <c r="M379" s="50">
        <f t="shared" si="93"/>
        <v>532.29999999999995</v>
      </c>
      <c r="N379" s="50">
        <f t="shared" si="93"/>
        <v>532.29999999999995</v>
      </c>
      <c r="O379" s="46">
        <v>1</v>
      </c>
      <c r="P379" s="50"/>
      <c r="Q379" s="50">
        <f>Q378+Q377+Q375</f>
        <v>532.29999999999995</v>
      </c>
      <c r="R379" s="24">
        <f t="shared" si="86"/>
        <v>1</v>
      </c>
      <c r="S379" s="15"/>
    </row>
    <row r="380" spans="2:19" ht="31.5" x14ac:dyDescent="0.3">
      <c r="B380" s="209" t="s">
        <v>615</v>
      </c>
      <c r="C380" s="198" t="s">
        <v>592</v>
      </c>
      <c r="D380" s="117" t="s">
        <v>13</v>
      </c>
      <c r="E380" s="199" t="s">
        <v>343</v>
      </c>
      <c r="F380" s="199"/>
      <c r="G380" s="199"/>
      <c r="H380" s="199"/>
      <c r="I380" s="199"/>
      <c r="J380" s="118" t="s">
        <v>195</v>
      </c>
      <c r="K380" s="118" t="s">
        <v>146</v>
      </c>
      <c r="L380" s="44">
        <v>784</v>
      </c>
      <c r="M380" s="44">
        <v>784</v>
      </c>
      <c r="N380" s="45" t="s">
        <v>0</v>
      </c>
      <c r="O380" s="44" t="s">
        <v>0</v>
      </c>
      <c r="P380" s="16"/>
      <c r="Q380" s="44">
        <v>784</v>
      </c>
      <c r="R380" s="24">
        <f t="shared" si="86"/>
        <v>1</v>
      </c>
      <c r="S380" s="15"/>
    </row>
    <row r="381" spans="2:19" ht="31.5" x14ac:dyDescent="0.3">
      <c r="B381" s="209"/>
      <c r="C381" s="198"/>
      <c r="D381" s="117" t="s">
        <v>10</v>
      </c>
      <c r="E381" s="52">
        <v>913</v>
      </c>
      <c r="F381" s="117" t="s">
        <v>594</v>
      </c>
      <c r="G381" s="117" t="s">
        <v>221</v>
      </c>
      <c r="H381" s="117" t="s">
        <v>373</v>
      </c>
      <c r="I381" s="52">
        <v>621</v>
      </c>
      <c r="J381" s="146" t="s">
        <v>4</v>
      </c>
      <c r="K381" s="118" t="s">
        <v>3</v>
      </c>
      <c r="L381" s="16">
        <v>1950</v>
      </c>
      <c r="M381" s="16">
        <v>1950</v>
      </c>
      <c r="N381" s="16">
        <v>1950</v>
      </c>
      <c r="O381" s="46">
        <v>1</v>
      </c>
      <c r="P381" s="16"/>
      <c r="Q381" s="16">
        <v>1950</v>
      </c>
      <c r="R381" s="24">
        <f t="shared" si="86"/>
        <v>1</v>
      </c>
      <c r="S381" s="15"/>
    </row>
    <row r="382" spans="2:19" x14ac:dyDescent="0.3">
      <c r="B382" s="119"/>
      <c r="C382" s="51" t="s">
        <v>1</v>
      </c>
      <c r="D382" s="52"/>
      <c r="E382" s="52"/>
      <c r="F382" s="52"/>
      <c r="G382" s="52"/>
      <c r="H382" s="52"/>
      <c r="I382" s="52"/>
      <c r="J382" s="53"/>
      <c r="K382" s="16"/>
      <c r="L382" s="16">
        <f>L381</f>
        <v>1950</v>
      </c>
      <c r="M382" s="16">
        <f t="shared" ref="M382:Q382" si="94">M381</f>
        <v>1950</v>
      </c>
      <c r="N382" s="16">
        <f t="shared" si="94"/>
        <v>1950</v>
      </c>
      <c r="O382" s="46">
        <v>1</v>
      </c>
      <c r="P382" s="16"/>
      <c r="Q382" s="16">
        <f t="shared" si="94"/>
        <v>1950</v>
      </c>
      <c r="R382" s="24">
        <f t="shared" si="86"/>
        <v>1</v>
      </c>
      <c r="S382" s="15"/>
    </row>
    <row r="383" spans="2:19" ht="49.5" customHeight="1" x14ac:dyDescent="0.3">
      <c r="B383" s="192" t="s">
        <v>607</v>
      </c>
      <c r="C383" s="241" t="s">
        <v>20</v>
      </c>
      <c r="D383" s="122" t="s">
        <v>13</v>
      </c>
      <c r="E383" s="206">
        <v>147</v>
      </c>
      <c r="F383" s="206"/>
      <c r="G383" s="206"/>
      <c r="H383" s="206"/>
      <c r="I383" s="206"/>
      <c r="J383" s="57" t="s">
        <v>609</v>
      </c>
      <c r="K383" s="145" t="s">
        <v>610</v>
      </c>
      <c r="L383" s="59">
        <v>2</v>
      </c>
      <c r="M383" s="59">
        <v>2</v>
      </c>
      <c r="N383" s="63" t="s">
        <v>0</v>
      </c>
      <c r="O383" s="59" t="s">
        <v>0</v>
      </c>
      <c r="P383" s="59"/>
      <c r="Q383" s="59">
        <v>2</v>
      </c>
      <c r="R383" s="24">
        <f t="shared" si="86"/>
        <v>1</v>
      </c>
      <c r="S383" s="250"/>
    </row>
    <row r="384" spans="2:19" ht="36.75" customHeight="1" x14ac:dyDescent="0.3">
      <c r="B384" s="192"/>
      <c r="C384" s="241"/>
      <c r="D384" s="61" t="s">
        <v>10</v>
      </c>
      <c r="E384" s="122" t="s">
        <v>611</v>
      </c>
      <c r="F384" s="122" t="s">
        <v>291</v>
      </c>
      <c r="G384" s="122" t="s">
        <v>131</v>
      </c>
      <c r="H384" s="122" t="s">
        <v>612</v>
      </c>
      <c r="I384" s="122" t="s">
        <v>150</v>
      </c>
      <c r="J384" s="62" t="s">
        <v>4</v>
      </c>
      <c r="K384" s="145" t="s">
        <v>3</v>
      </c>
      <c r="L384" s="63">
        <v>5248.7</v>
      </c>
      <c r="M384" s="63">
        <v>5287.6</v>
      </c>
      <c r="N384" s="63">
        <v>5287.6</v>
      </c>
      <c r="O384" s="60">
        <f>N384/M384</f>
        <v>1</v>
      </c>
      <c r="P384" s="63"/>
      <c r="Q384" s="63">
        <f>5287.6-31.77411</f>
        <v>5255.8</v>
      </c>
      <c r="R384" s="24">
        <f t="shared" si="86"/>
        <v>0.99399999999999999</v>
      </c>
      <c r="S384" s="251"/>
    </row>
    <row r="385" spans="2:19" ht="31.5" x14ac:dyDescent="0.3">
      <c r="B385" s="190" t="s">
        <v>608</v>
      </c>
      <c r="C385" s="191" t="s">
        <v>613</v>
      </c>
      <c r="D385" s="122" t="s">
        <v>13</v>
      </c>
      <c r="E385" s="206">
        <v>33</v>
      </c>
      <c r="F385" s="206"/>
      <c r="G385" s="206"/>
      <c r="H385" s="206"/>
      <c r="I385" s="206"/>
      <c r="J385" s="57" t="s">
        <v>614</v>
      </c>
      <c r="K385" s="145" t="s">
        <v>67</v>
      </c>
      <c r="L385" s="59">
        <v>16</v>
      </c>
      <c r="M385" s="59">
        <v>16</v>
      </c>
      <c r="N385" s="63" t="s">
        <v>29</v>
      </c>
      <c r="O385" s="63" t="s">
        <v>0</v>
      </c>
      <c r="P385" s="59"/>
      <c r="Q385" s="59">
        <v>16</v>
      </c>
      <c r="R385" s="24">
        <f t="shared" si="86"/>
        <v>1</v>
      </c>
      <c r="S385" s="57"/>
    </row>
    <row r="386" spans="2:19" ht="31.5" x14ac:dyDescent="0.3">
      <c r="B386" s="190"/>
      <c r="C386" s="191"/>
      <c r="D386" s="127" t="s">
        <v>10</v>
      </c>
      <c r="E386" s="122" t="s">
        <v>611</v>
      </c>
      <c r="F386" s="122" t="s">
        <v>291</v>
      </c>
      <c r="G386" s="122" t="s">
        <v>131</v>
      </c>
      <c r="H386" s="122" t="s">
        <v>612</v>
      </c>
      <c r="I386" s="122" t="s">
        <v>150</v>
      </c>
      <c r="J386" s="148" t="s">
        <v>4</v>
      </c>
      <c r="K386" s="148" t="s">
        <v>3</v>
      </c>
      <c r="L386" s="63">
        <v>2727.8</v>
      </c>
      <c r="M386" s="63">
        <v>2727.8</v>
      </c>
      <c r="N386" s="63">
        <v>2727.8</v>
      </c>
      <c r="O386" s="60">
        <f>N386/M386</f>
        <v>1</v>
      </c>
      <c r="P386" s="63"/>
      <c r="Q386" s="63">
        <v>2727.8</v>
      </c>
      <c r="R386" s="24">
        <f t="shared" si="86"/>
        <v>1</v>
      </c>
      <c r="S386" s="64"/>
    </row>
    <row r="387" spans="2:19" x14ac:dyDescent="0.3">
      <c r="B387" s="121"/>
      <c r="C387" s="51" t="s">
        <v>1</v>
      </c>
      <c r="D387" s="128"/>
      <c r="E387" s="128"/>
      <c r="F387" s="128"/>
      <c r="G387" s="128"/>
      <c r="H387" s="128"/>
      <c r="I387" s="128"/>
      <c r="J387" s="128"/>
      <c r="K387" s="128"/>
      <c r="L387" s="129">
        <f>L384+L386</f>
        <v>7976.5</v>
      </c>
      <c r="M387" s="129">
        <f>M384+M386</f>
        <v>8015.4</v>
      </c>
      <c r="N387" s="129">
        <f>N384+N386</f>
        <v>8015.4</v>
      </c>
      <c r="O387" s="60">
        <f>N387/M387</f>
        <v>1</v>
      </c>
      <c r="P387" s="130"/>
      <c r="Q387" s="129">
        <f>Q384+Q386</f>
        <v>7983.6</v>
      </c>
      <c r="R387" s="24">
        <f t="shared" si="86"/>
        <v>0.996</v>
      </c>
      <c r="S387" s="128"/>
    </row>
    <row r="388" spans="2:19" s="23" customFormat="1" x14ac:dyDescent="0.3">
      <c r="B388" s="77"/>
      <c r="C388" s="78" t="s">
        <v>2</v>
      </c>
      <c r="D388" s="79"/>
      <c r="E388" s="79"/>
      <c r="F388" s="79"/>
      <c r="G388" s="79"/>
      <c r="H388" s="79"/>
      <c r="I388" s="79"/>
      <c r="J388" s="151"/>
      <c r="K388" s="81"/>
      <c r="L388" s="140">
        <f>L387+L382+L379+L373+L360+L353</f>
        <v>43669.8</v>
      </c>
      <c r="M388" s="140">
        <f>M387+M382+M379+M373+M360+M353</f>
        <v>43708.7</v>
      </c>
      <c r="N388" s="140">
        <f>N387+N382+N379+N373+N360+N353</f>
        <v>43708.7</v>
      </c>
      <c r="O388" s="181">
        <f>N388/M388</f>
        <v>1</v>
      </c>
      <c r="P388" s="82"/>
      <c r="Q388" s="82">
        <f>Q387+Q382+Q379+Q373+Q360+Q353</f>
        <v>42797.8</v>
      </c>
      <c r="R388" s="132">
        <f t="shared" si="86"/>
        <v>0.97899999999999998</v>
      </c>
      <c r="S388" s="85"/>
    </row>
    <row r="389" spans="2:19" ht="26.25" customHeight="1" x14ac:dyDescent="0.3">
      <c r="B389" s="184" t="s">
        <v>618</v>
      </c>
      <c r="C389" s="193" t="s">
        <v>616</v>
      </c>
      <c r="D389" s="193"/>
      <c r="E389" s="193"/>
      <c r="F389" s="193"/>
      <c r="G389" s="193"/>
      <c r="H389" s="193"/>
      <c r="I389" s="193"/>
      <c r="J389" s="193"/>
      <c r="K389" s="193"/>
      <c r="L389" s="174"/>
      <c r="M389" s="174"/>
      <c r="N389" s="174"/>
      <c r="O389" s="16"/>
      <c r="P389" s="16"/>
      <c r="Q389" s="16"/>
      <c r="R389" s="18"/>
      <c r="S389" s="15"/>
    </row>
    <row r="390" spans="2:19" ht="65.25" customHeight="1" x14ac:dyDescent="0.3">
      <c r="B390" s="190" t="s">
        <v>624</v>
      </c>
      <c r="C390" s="191" t="s">
        <v>304</v>
      </c>
      <c r="D390" s="122" t="s">
        <v>13</v>
      </c>
      <c r="E390" s="192" t="s">
        <v>626</v>
      </c>
      <c r="F390" s="192"/>
      <c r="G390" s="192"/>
      <c r="H390" s="192"/>
      <c r="I390" s="192"/>
      <c r="J390" s="62" t="s">
        <v>620</v>
      </c>
      <c r="K390" s="145" t="s">
        <v>59</v>
      </c>
      <c r="L390" s="59">
        <v>2000</v>
      </c>
      <c r="M390" s="59">
        <v>2000</v>
      </c>
      <c r="N390" s="63" t="s">
        <v>0</v>
      </c>
      <c r="O390" s="59" t="s">
        <v>0</v>
      </c>
      <c r="P390" s="59"/>
      <c r="Q390" s="59">
        <v>3500</v>
      </c>
      <c r="R390" s="60">
        <f t="shared" ref="R390:R395" si="95">Q390/M390</f>
        <v>1.75</v>
      </c>
      <c r="S390" s="57" t="s">
        <v>640</v>
      </c>
    </row>
    <row r="391" spans="2:19" ht="26.25" customHeight="1" x14ac:dyDescent="0.3">
      <c r="B391" s="190"/>
      <c r="C391" s="191"/>
      <c r="D391" s="122" t="s">
        <v>10</v>
      </c>
      <c r="E391" s="122" t="s">
        <v>611</v>
      </c>
      <c r="F391" s="122" t="s">
        <v>100</v>
      </c>
      <c r="G391" s="122" t="s">
        <v>149</v>
      </c>
      <c r="H391" s="122" t="s">
        <v>621</v>
      </c>
      <c r="I391" s="122" t="s">
        <v>150</v>
      </c>
      <c r="J391" s="62" t="s">
        <v>4</v>
      </c>
      <c r="K391" s="145" t="s">
        <v>3</v>
      </c>
      <c r="L391" s="175">
        <v>5427.1</v>
      </c>
      <c r="M391" s="175">
        <v>5427.1</v>
      </c>
      <c r="N391" s="175">
        <v>5427.1</v>
      </c>
      <c r="O391" s="60">
        <f>N391/M391</f>
        <v>1</v>
      </c>
      <c r="P391" s="145"/>
      <c r="Q391" s="63">
        <v>5427.1</v>
      </c>
      <c r="R391" s="60">
        <f t="shared" si="95"/>
        <v>1</v>
      </c>
      <c r="S391" s="66"/>
    </row>
    <row r="392" spans="2:19" ht="105" customHeight="1" x14ac:dyDescent="0.3">
      <c r="B392" s="190" t="s">
        <v>625</v>
      </c>
      <c r="C392" s="191" t="s">
        <v>304</v>
      </c>
      <c r="D392" s="122" t="s">
        <v>13</v>
      </c>
      <c r="E392" s="192" t="s">
        <v>627</v>
      </c>
      <c r="F392" s="192"/>
      <c r="G392" s="192"/>
      <c r="H392" s="192"/>
      <c r="I392" s="192"/>
      <c r="J392" s="62" t="s">
        <v>622</v>
      </c>
      <c r="K392" s="145" t="s">
        <v>59</v>
      </c>
      <c r="L392" s="59">
        <v>4000</v>
      </c>
      <c r="M392" s="59">
        <v>4000</v>
      </c>
      <c r="N392" s="63" t="s">
        <v>0</v>
      </c>
      <c r="O392" s="59" t="s">
        <v>0</v>
      </c>
      <c r="P392" s="59"/>
      <c r="Q392" s="59">
        <v>5000</v>
      </c>
      <c r="R392" s="60">
        <f t="shared" si="95"/>
        <v>1.25</v>
      </c>
      <c r="S392" s="57" t="s">
        <v>623</v>
      </c>
    </row>
    <row r="393" spans="2:19" ht="26.25" customHeight="1" x14ac:dyDescent="0.3">
      <c r="B393" s="190"/>
      <c r="C393" s="191"/>
      <c r="D393" s="122" t="s">
        <v>10</v>
      </c>
      <c r="E393" s="122" t="s">
        <v>611</v>
      </c>
      <c r="F393" s="122" t="s">
        <v>100</v>
      </c>
      <c r="G393" s="122" t="s">
        <v>149</v>
      </c>
      <c r="H393" s="122" t="s">
        <v>621</v>
      </c>
      <c r="I393" s="122" t="s">
        <v>150</v>
      </c>
      <c r="J393" s="62" t="s">
        <v>4</v>
      </c>
      <c r="K393" s="145" t="s">
        <v>3</v>
      </c>
      <c r="L393" s="175">
        <v>1154</v>
      </c>
      <c r="M393" s="175">
        <v>1154</v>
      </c>
      <c r="N393" s="175">
        <v>1154</v>
      </c>
      <c r="O393" s="60">
        <f>N393/M393</f>
        <v>1</v>
      </c>
      <c r="P393" s="145"/>
      <c r="Q393" s="63">
        <v>1154</v>
      </c>
      <c r="R393" s="60">
        <f t="shared" si="95"/>
        <v>1</v>
      </c>
      <c r="S393" s="66"/>
    </row>
    <row r="394" spans="2:19" ht="18.75" customHeight="1" x14ac:dyDescent="0.3">
      <c r="B394" s="174"/>
      <c r="C394" s="51" t="s">
        <v>1</v>
      </c>
      <c r="D394" s="176"/>
      <c r="E394" s="176"/>
      <c r="F394" s="176"/>
      <c r="G394" s="176"/>
      <c r="H394" s="176"/>
      <c r="I394" s="176"/>
      <c r="J394" s="176"/>
      <c r="K394" s="176"/>
      <c r="L394" s="177">
        <f>L393+L391</f>
        <v>6581.1</v>
      </c>
      <c r="M394" s="177">
        <f t="shared" ref="M394:N394" si="96">M393+M391</f>
        <v>6581.1</v>
      </c>
      <c r="N394" s="177">
        <f t="shared" si="96"/>
        <v>6581.1</v>
      </c>
      <c r="O394" s="60">
        <f t="shared" ref="O394" si="97">N394/M394</f>
        <v>1</v>
      </c>
      <c r="P394" s="16"/>
      <c r="Q394" s="177">
        <f>Q393+Q391</f>
        <v>6581.1</v>
      </c>
      <c r="R394" s="60">
        <f t="shared" si="95"/>
        <v>1</v>
      </c>
      <c r="S394" s="15"/>
    </row>
    <row r="395" spans="2:19" s="23" customFormat="1" ht="18.75" customHeight="1" x14ac:dyDescent="0.3">
      <c r="B395" s="182"/>
      <c r="C395" s="78" t="s">
        <v>2</v>
      </c>
      <c r="D395" s="183"/>
      <c r="E395" s="183"/>
      <c r="F395" s="183"/>
      <c r="G395" s="183"/>
      <c r="H395" s="183"/>
      <c r="I395" s="183"/>
      <c r="J395" s="183"/>
      <c r="K395" s="183"/>
      <c r="L395" s="184">
        <f>L394</f>
        <v>6581.1</v>
      </c>
      <c r="M395" s="184">
        <f t="shared" ref="M395:N395" si="98">M394</f>
        <v>6581.1</v>
      </c>
      <c r="N395" s="184">
        <f t="shared" si="98"/>
        <v>6581.1</v>
      </c>
      <c r="O395" s="132">
        <f>N395/M395</f>
        <v>1</v>
      </c>
      <c r="P395" s="81"/>
      <c r="Q395" s="184">
        <f>Q394</f>
        <v>6581.1</v>
      </c>
      <c r="R395" s="181">
        <f t="shared" si="95"/>
        <v>1</v>
      </c>
      <c r="S395" s="85"/>
    </row>
    <row r="396" spans="2:19" ht="26.25" customHeight="1" x14ac:dyDescent="0.3">
      <c r="B396" s="133"/>
      <c r="C396" s="134"/>
      <c r="D396" s="134"/>
      <c r="E396" s="134"/>
      <c r="F396" s="134"/>
      <c r="G396" s="134"/>
      <c r="H396" s="134"/>
      <c r="I396" s="134"/>
      <c r="J396" s="134"/>
      <c r="K396" s="134"/>
      <c r="L396" s="133"/>
      <c r="M396" s="133"/>
      <c r="N396" s="133"/>
      <c r="O396" s="97"/>
      <c r="P396" s="97"/>
      <c r="Q396" s="97"/>
      <c r="R396" s="98"/>
      <c r="S396" s="92"/>
    </row>
    <row r="397" spans="2:19" ht="26.25" customHeight="1" x14ac:dyDescent="0.3">
      <c r="B397" s="133"/>
      <c r="C397" s="134"/>
      <c r="D397" s="134"/>
      <c r="E397" s="134"/>
      <c r="F397" s="134"/>
      <c r="G397" s="134"/>
      <c r="H397" s="134"/>
      <c r="I397" s="134"/>
      <c r="J397" s="134"/>
      <c r="K397" s="134"/>
      <c r="L397" s="133"/>
      <c r="M397" s="133"/>
      <c r="N397" s="133"/>
      <c r="O397" s="97"/>
      <c r="P397" s="97"/>
      <c r="Q397" s="97"/>
      <c r="R397" s="98"/>
      <c r="S397" s="92"/>
    </row>
    <row r="398" spans="2:19" ht="26.25" customHeight="1" x14ac:dyDescent="0.3">
      <c r="B398" s="133"/>
      <c r="C398" s="134"/>
      <c r="D398" s="134"/>
      <c r="E398" s="134"/>
      <c r="F398" s="134"/>
      <c r="G398" s="134"/>
      <c r="H398" s="134"/>
      <c r="I398" s="134"/>
      <c r="J398" s="134"/>
      <c r="K398" s="134"/>
      <c r="L398" s="133"/>
      <c r="M398" s="133"/>
      <c r="N398" s="133"/>
      <c r="O398" s="97"/>
      <c r="P398" s="97"/>
      <c r="Q398" s="97"/>
      <c r="R398" s="98"/>
      <c r="S398" s="92"/>
    </row>
    <row r="399" spans="2:19" ht="26.25" customHeight="1" x14ac:dyDescent="0.3">
      <c r="B399" s="133"/>
      <c r="C399" s="134"/>
      <c r="D399" s="134"/>
      <c r="E399" s="134"/>
      <c r="F399" s="134"/>
      <c r="G399" s="134"/>
      <c r="H399" s="134"/>
      <c r="I399" s="134"/>
      <c r="J399" s="134"/>
      <c r="K399" s="134"/>
      <c r="L399" s="133"/>
      <c r="M399" s="133"/>
      <c r="N399" s="133"/>
      <c r="O399" s="97"/>
      <c r="P399" s="97"/>
      <c r="Q399" s="97"/>
      <c r="R399" s="98"/>
      <c r="S399" s="92"/>
    </row>
    <row r="400" spans="2:19" ht="26.25" customHeight="1" x14ac:dyDescent="0.3">
      <c r="B400" s="133"/>
      <c r="C400" s="134"/>
      <c r="D400" s="134"/>
      <c r="E400" s="134"/>
      <c r="F400" s="134"/>
      <c r="G400" s="134"/>
      <c r="H400" s="134"/>
      <c r="I400" s="134"/>
      <c r="J400" s="134"/>
      <c r="K400" s="134"/>
      <c r="L400" s="133"/>
      <c r="M400" s="133"/>
      <c r="N400" s="133"/>
      <c r="O400" s="97"/>
      <c r="P400" s="97"/>
      <c r="Q400" s="97"/>
      <c r="R400" s="98"/>
      <c r="S400" s="92"/>
    </row>
    <row r="401" spans="2:19" ht="26.25" customHeight="1" x14ac:dyDescent="0.3">
      <c r="B401" s="133"/>
      <c r="C401" s="134"/>
      <c r="D401" s="134"/>
      <c r="E401" s="134"/>
      <c r="F401" s="134"/>
      <c r="G401" s="134"/>
      <c r="H401" s="134"/>
      <c r="I401" s="134"/>
      <c r="J401" s="134"/>
      <c r="K401" s="134"/>
      <c r="L401" s="133"/>
      <c r="M401" s="133"/>
      <c r="N401" s="133"/>
      <c r="O401" s="97"/>
      <c r="P401" s="97"/>
      <c r="Q401" s="97"/>
      <c r="R401" s="98"/>
      <c r="S401" s="92"/>
    </row>
    <row r="402" spans="2:19" ht="26.25" customHeight="1" x14ac:dyDescent="0.3">
      <c r="B402" s="133"/>
      <c r="C402" s="134"/>
      <c r="D402" s="134"/>
      <c r="E402" s="134"/>
      <c r="F402" s="134"/>
      <c r="G402" s="134"/>
      <c r="H402" s="134"/>
      <c r="I402" s="134"/>
      <c r="J402" s="134"/>
      <c r="K402" s="134"/>
      <c r="L402" s="133"/>
      <c r="M402" s="133"/>
      <c r="N402" s="133"/>
      <c r="O402" s="97"/>
      <c r="P402" s="97"/>
      <c r="Q402" s="97"/>
      <c r="R402" s="98"/>
      <c r="S402" s="92"/>
    </row>
    <row r="403" spans="2:19" ht="26.25" customHeight="1" x14ac:dyDescent="0.3">
      <c r="B403" s="133"/>
      <c r="C403" s="134"/>
      <c r="D403" s="134"/>
      <c r="E403" s="134"/>
      <c r="F403" s="134"/>
      <c r="G403" s="134"/>
      <c r="H403" s="134"/>
      <c r="I403" s="134"/>
      <c r="J403" s="134"/>
      <c r="K403" s="134"/>
      <c r="L403" s="133"/>
      <c r="M403" s="133"/>
      <c r="N403" s="133"/>
      <c r="O403" s="97"/>
      <c r="P403" s="97"/>
      <c r="Q403" s="97"/>
      <c r="R403" s="98"/>
      <c r="S403" s="92"/>
    </row>
    <row r="404" spans="2:19" x14ac:dyDescent="0.3">
      <c r="B404" s="75"/>
      <c r="C404" s="103"/>
      <c r="D404" s="99"/>
      <c r="E404" s="99"/>
      <c r="F404" s="99"/>
      <c r="G404" s="99"/>
      <c r="H404" s="99"/>
      <c r="I404" s="99"/>
      <c r="J404" s="100"/>
      <c r="K404" s="97"/>
      <c r="L404" s="97"/>
      <c r="M404" s="97"/>
      <c r="N404" s="97"/>
      <c r="O404" s="97"/>
      <c r="P404" s="97"/>
      <c r="Q404" s="97"/>
      <c r="R404" s="98"/>
      <c r="S404" s="92"/>
    </row>
    <row r="405" spans="2:19" x14ac:dyDescent="0.3">
      <c r="B405" s="75"/>
      <c r="C405" s="103"/>
      <c r="D405" s="99"/>
      <c r="E405" s="99"/>
      <c r="F405" s="99"/>
      <c r="G405" s="99"/>
      <c r="H405" s="99"/>
      <c r="I405" s="99"/>
      <c r="J405" s="100"/>
      <c r="K405" s="97"/>
      <c r="L405" s="97"/>
      <c r="M405" s="97"/>
      <c r="N405" s="97"/>
      <c r="O405" s="97"/>
      <c r="P405" s="97"/>
      <c r="Q405" s="97"/>
      <c r="R405" s="98"/>
      <c r="S405" s="92"/>
    </row>
    <row r="406" spans="2:19" x14ac:dyDescent="0.3">
      <c r="B406" s="75"/>
      <c r="C406" s="103"/>
      <c r="D406" s="99"/>
      <c r="E406" s="99"/>
      <c r="F406" s="99"/>
      <c r="G406" s="99"/>
      <c r="H406" s="99"/>
      <c r="I406" s="99"/>
      <c r="J406" s="100"/>
      <c r="K406" s="97"/>
      <c r="L406" s="97"/>
      <c r="M406" s="97"/>
      <c r="N406" s="97"/>
      <c r="O406" s="97"/>
      <c r="P406" s="97"/>
      <c r="Q406" s="97"/>
      <c r="R406" s="98"/>
      <c r="S406" s="92"/>
    </row>
    <row r="407" spans="2:19" x14ac:dyDescent="0.3">
      <c r="B407" s="75"/>
      <c r="C407" s="103"/>
      <c r="D407" s="99"/>
      <c r="E407" s="99"/>
      <c r="F407" s="99"/>
      <c r="G407" s="99"/>
      <c r="H407" s="99"/>
      <c r="I407" s="99"/>
      <c r="J407" s="100"/>
      <c r="K407" s="97"/>
      <c r="L407" s="97"/>
      <c r="M407" s="97"/>
      <c r="N407" s="97"/>
      <c r="O407" s="97"/>
      <c r="P407" s="97"/>
      <c r="Q407" s="97"/>
      <c r="R407" s="98"/>
      <c r="S407" s="92"/>
    </row>
    <row r="408" spans="2:19" x14ac:dyDescent="0.3">
      <c r="B408" s="75"/>
      <c r="C408" s="103"/>
      <c r="D408" s="99"/>
      <c r="E408" s="99"/>
      <c r="F408" s="99"/>
      <c r="G408" s="99"/>
      <c r="H408" s="99"/>
      <c r="I408" s="99"/>
      <c r="J408" s="100"/>
      <c r="K408" s="97"/>
      <c r="L408" s="97"/>
      <c r="M408" s="97"/>
      <c r="N408" s="97"/>
      <c r="O408" s="97"/>
      <c r="P408" s="97"/>
      <c r="Q408" s="97"/>
      <c r="R408" s="98"/>
      <c r="S408" s="92"/>
    </row>
    <row r="409" spans="2:19" ht="93.75" customHeight="1" x14ac:dyDescent="0.3">
      <c r="B409" s="75" t="s">
        <v>619</v>
      </c>
      <c r="C409" s="194" t="s">
        <v>617</v>
      </c>
      <c r="D409" s="195"/>
      <c r="E409" s="195"/>
      <c r="F409" s="195"/>
      <c r="G409" s="195"/>
      <c r="H409" s="195"/>
      <c r="I409" s="195"/>
      <c r="J409" s="195"/>
      <c r="K409" s="195"/>
      <c r="L409" s="97"/>
      <c r="M409" s="97"/>
      <c r="N409" s="97"/>
      <c r="O409" s="97"/>
      <c r="P409" s="97"/>
      <c r="Q409" s="97"/>
      <c r="R409" s="98"/>
      <c r="S409" s="92"/>
    </row>
    <row r="410" spans="2:19" x14ac:dyDescent="0.3">
      <c r="B410" s="75"/>
      <c r="C410" s="103"/>
      <c r="D410" s="99"/>
      <c r="E410" s="99"/>
      <c r="F410" s="99"/>
      <c r="G410" s="99"/>
      <c r="H410" s="99"/>
      <c r="I410" s="99"/>
      <c r="J410" s="100"/>
      <c r="K410" s="97"/>
      <c r="L410" s="97"/>
      <c r="M410" s="97"/>
      <c r="N410" s="97"/>
      <c r="O410" s="97"/>
      <c r="P410" s="97"/>
      <c r="Q410" s="97"/>
      <c r="R410" s="98"/>
      <c r="S410" s="92"/>
    </row>
    <row r="411" spans="2:19" x14ac:dyDescent="0.3">
      <c r="B411" s="75"/>
      <c r="C411" s="103"/>
      <c r="D411" s="99"/>
      <c r="E411" s="99"/>
      <c r="F411" s="99"/>
      <c r="G411" s="99"/>
      <c r="H411" s="99"/>
      <c r="I411" s="99"/>
      <c r="J411" s="100"/>
      <c r="K411" s="97"/>
      <c r="L411" s="97"/>
      <c r="M411" s="97"/>
      <c r="N411" s="97"/>
      <c r="O411" s="97"/>
      <c r="P411" s="97"/>
      <c r="Q411" s="97"/>
      <c r="R411" s="98"/>
      <c r="S411" s="92"/>
    </row>
    <row r="412" spans="2:19" x14ac:dyDescent="0.3">
      <c r="B412" s="75"/>
      <c r="C412" s="103"/>
      <c r="D412" s="99"/>
      <c r="E412" s="99"/>
      <c r="F412" s="99"/>
      <c r="G412" s="99"/>
      <c r="H412" s="99"/>
      <c r="I412" s="99"/>
      <c r="J412" s="100"/>
      <c r="K412" s="97"/>
      <c r="L412" s="97"/>
      <c r="M412" s="97"/>
      <c r="N412" s="97"/>
      <c r="O412" s="97"/>
      <c r="P412" s="97"/>
      <c r="Q412" s="97"/>
      <c r="R412" s="98"/>
      <c r="S412" s="92"/>
    </row>
    <row r="413" spans="2:19" x14ac:dyDescent="0.3">
      <c r="B413" s="75"/>
      <c r="C413" s="103"/>
      <c r="D413" s="99"/>
      <c r="E413" s="99"/>
      <c r="F413" s="99"/>
      <c r="G413" s="99"/>
      <c r="H413" s="99"/>
      <c r="I413" s="99"/>
      <c r="J413" s="100"/>
      <c r="K413" s="97"/>
      <c r="L413" s="97"/>
      <c r="M413" s="97"/>
      <c r="N413" s="97"/>
      <c r="O413" s="97"/>
      <c r="P413" s="97"/>
      <c r="Q413" s="97"/>
      <c r="R413" s="98"/>
      <c r="S413" s="92"/>
    </row>
    <row r="414" spans="2:19" x14ac:dyDescent="0.3">
      <c r="B414" s="75"/>
      <c r="C414" s="103"/>
      <c r="D414" s="99"/>
      <c r="E414" s="99"/>
      <c r="F414" s="99"/>
      <c r="G414" s="99"/>
      <c r="H414" s="99"/>
      <c r="I414" s="99"/>
      <c r="J414" s="100"/>
      <c r="K414" s="97"/>
      <c r="L414" s="97"/>
      <c r="M414" s="97"/>
      <c r="N414" s="97"/>
      <c r="O414" s="97"/>
      <c r="P414" s="97"/>
      <c r="Q414" s="97"/>
      <c r="R414" s="98"/>
      <c r="S414" s="92"/>
    </row>
    <row r="415" spans="2:19" x14ac:dyDescent="0.3">
      <c r="B415" s="75"/>
      <c r="C415" s="103"/>
      <c r="D415" s="99"/>
      <c r="E415" s="99"/>
      <c r="F415" s="99"/>
      <c r="G415" s="99"/>
      <c r="H415" s="99"/>
      <c r="I415" s="99"/>
      <c r="J415" s="100"/>
      <c r="K415" s="97"/>
      <c r="L415" s="97"/>
      <c r="M415" s="97"/>
      <c r="N415" s="97"/>
      <c r="O415" s="97"/>
      <c r="P415" s="97"/>
      <c r="Q415" s="97"/>
      <c r="R415" s="98"/>
      <c r="S415" s="92"/>
    </row>
    <row r="416" spans="2:19" x14ac:dyDescent="0.3">
      <c r="B416" s="75"/>
      <c r="C416" s="103"/>
      <c r="D416" s="99"/>
      <c r="E416" s="99"/>
      <c r="F416" s="99"/>
      <c r="G416" s="99"/>
      <c r="H416" s="99"/>
      <c r="I416" s="99"/>
      <c r="J416" s="100"/>
      <c r="K416" s="97"/>
      <c r="L416" s="97"/>
      <c r="M416" s="97"/>
      <c r="N416" s="97"/>
      <c r="O416" s="97"/>
      <c r="P416" s="97"/>
      <c r="Q416" s="97"/>
      <c r="R416" s="98"/>
      <c r="S416" s="92"/>
    </row>
    <row r="417" spans="2:19" x14ac:dyDescent="0.3">
      <c r="B417" s="75"/>
      <c r="C417" s="103"/>
      <c r="D417" s="99"/>
      <c r="E417" s="99"/>
      <c r="F417" s="99"/>
      <c r="G417" s="99"/>
      <c r="H417" s="99"/>
      <c r="I417" s="99"/>
      <c r="J417" s="100"/>
      <c r="K417" s="97"/>
      <c r="L417" s="97"/>
      <c r="M417" s="97"/>
      <c r="N417" s="97"/>
      <c r="O417" s="97"/>
      <c r="P417" s="97"/>
      <c r="Q417" s="97"/>
      <c r="R417" s="98"/>
      <c r="S417" s="92"/>
    </row>
    <row r="418" spans="2:19" x14ac:dyDescent="0.3">
      <c r="B418" s="75"/>
      <c r="C418" s="103"/>
      <c r="D418" s="99"/>
      <c r="E418" s="99"/>
      <c r="F418" s="99"/>
      <c r="G418" s="99"/>
      <c r="H418" s="99"/>
      <c r="I418" s="99"/>
      <c r="J418" s="100"/>
      <c r="K418" s="97"/>
      <c r="L418" s="97"/>
      <c r="M418" s="97"/>
      <c r="N418" s="97"/>
      <c r="O418" s="97"/>
      <c r="P418" s="97"/>
      <c r="Q418" s="97"/>
      <c r="R418" s="98"/>
      <c r="S418" s="92"/>
    </row>
    <row r="419" spans="2:19" x14ac:dyDescent="0.3">
      <c r="B419" s="75"/>
      <c r="C419" s="103"/>
      <c r="D419" s="99"/>
      <c r="E419" s="99"/>
      <c r="F419" s="99"/>
      <c r="G419" s="99"/>
      <c r="H419" s="99"/>
      <c r="I419" s="99"/>
      <c r="J419" s="100"/>
      <c r="K419" s="97"/>
      <c r="L419" s="97"/>
      <c r="M419" s="97"/>
      <c r="N419" s="97"/>
      <c r="O419" s="97"/>
      <c r="P419" s="97"/>
      <c r="Q419" s="97"/>
      <c r="R419" s="98"/>
      <c r="S419" s="92"/>
    </row>
    <row r="420" spans="2:19" x14ac:dyDescent="0.3">
      <c r="B420" s="75"/>
      <c r="C420" s="103"/>
      <c r="D420" s="99"/>
      <c r="E420" s="99"/>
      <c r="F420" s="99"/>
      <c r="G420" s="99"/>
      <c r="H420" s="99"/>
      <c r="I420" s="99"/>
      <c r="J420" s="100"/>
      <c r="K420" s="97"/>
      <c r="L420" s="97"/>
      <c r="M420" s="97"/>
      <c r="N420" s="97"/>
      <c r="O420" s="97"/>
      <c r="P420" s="97"/>
      <c r="Q420" s="97"/>
      <c r="R420" s="98"/>
      <c r="S420" s="92"/>
    </row>
    <row r="421" spans="2:19" x14ac:dyDescent="0.3">
      <c r="B421" s="75"/>
      <c r="C421" s="103"/>
      <c r="D421" s="99"/>
      <c r="E421" s="99"/>
      <c r="F421" s="99"/>
      <c r="G421" s="99"/>
      <c r="H421" s="99"/>
      <c r="I421" s="99"/>
      <c r="J421" s="100"/>
      <c r="K421" s="97"/>
      <c r="L421" s="97"/>
      <c r="M421" s="97"/>
      <c r="N421" s="97"/>
      <c r="O421" s="97"/>
      <c r="P421" s="97"/>
      <c r="Q421" s="97"/>
      <c r="R421" s="98"/>
      <c r="S421" s="92"/>
    </row>
    <row r="422" spans="2:19" x14ac:dyDescent="0.3">
      <c r="B422" s="75"/>
      <c r="C422" s="103"/>
      <c r="D422" s="99"/>
      <c r="E422" s="99"/>
      <c r="F422" s="99"/>
      <c r="G422" s="99"/>
      <c r="H422" s="99"/>
      <c r="I422" s="99"/>
      <c r="J422" s="100"/>
      <c r="K422" s="97"/>
      <c r="L422" s="97"/>
      <c r="M422" s="97"/>
      <c r="N422" s="97"/>
      <c r="O422" s="97"/>
      <c r="P422" s="97"/>
      <c r="Q422" s="97"/>
      <c r="R422" s="98"/>
      <c r="S422" s="92"/>
    </row>
    <row r="423" spans="2:19" x14ac:dyDescent="0.3">
      <c r="B423" s="75"/>
      <c r="C423" s="103"/>
      <c r="D423" s="99"/>
      <c r="E423" s="99"/>
      <c r="F423" s="99"/>
      <c r="G423" s="99"/>
      <c r="H423" s="99"/>
      <c r="I423" s="99"/>
      <c r="J423" s="100"/>
      <c r="K423" s="97"/>
      <c r="L423" s="97"/>
      <c r="M423" s="97"/>
      <c r="N423" s="97"/>
      <c r="O423" s="97"/>
      <c r="P423" s="97"/>
      <c r="Q423" s="97"/>
      <c r="R423" s="98"/>
      <c r="S423" s="92"/>
    </row>
    <row r="424" spans="2:19" x14ac:dyDescent="0.3">
      <c r="B424" s="75"/>
      <c r="C424" s="103"/>
      <c r="D424" s="99"/>
      <c r="E424" s="99"/>
      <c r="F424" s="99"/>
      <c r="G424" s="99"/>
      <c r="H424" s="99"/>
      <c r="I424" s="99"/>
      <c r="J424" s="100"/>
      <c r="K424" s="97"/>
      <c r="L424" s="97"/>
      <c r="M424" s="97"/>
      <c r="N424" s="97"/>
      <c r="O424" s="97"/>
      <c r="P424" s="97"/>
      <c r="Q424" s="97"/>
      <c r="R424" s="98"/>
      <c r="S424" s="92"/>
    </row>
    <row r="425" spans="2:19" x14ac:dyDescent="0.3">
      <c r="B425" s="75"/>
      <c r="C425" s="103"/>
      <c r="D425" s="99"/>
      <c r="E425" s="99"/>
      <c r="F425" s="99"/>
      <c r="G425" s="99"/>
      <c r="H425" s="99"/>
      <c r="I425" s="99"/>
      <c r="J425" s="100"/>
      <c r="K425" s="97"/>
      <c r="L425" s="97"/>
      <c r="M425" s="97"/>
      <c r="N425" s="97"/>
      <c r="O425" s="97"/>
      <c r="P425" s="97"/>
      <c r="Q425" s="97"/>
      <c r="R425" s="98"/>
      <c r="S425" s="92"/>
    </row>
    <row r="426" spans="2:19" x14ac:dyDescent="0.3">
      <c r="B426" s="75"/>
      <c r="C426" s="103"/>
      <c r="D426" s="99"/>
      <c r="E426" s="99"/>
      <c r="F426" s="99"/>
      <c r="G426" s="99"/>
      <c r="H426" s="99"/>
      <c r="I426" s="99"/>
      <c r="J426" s="100"/>
      <c r="K426" s="97"/>
      <c r="L426" s="97"/>
      <c r="M426" s="97"/>
      <c r="N426" s="97"/>
      <c r="O426" s="97"/>
      <c r="P426" s="97"/>
      <c r="Q426" s="97"/>
      <c r="R426" s="98"/>
      <c r="S426" s="92"/>
    </row>
    <row r="427" spans="2:19" x14ac:dyDescent="0.3">
      <c r="B427" s="75"/>
      <c r="C427" s="103"/>
      <c r="D427" s="99"/>
      <c r="E427" s="99"/>
      <c r="F427" s="99"/>
      <c r="G427" s="99"/>
      <c r="H427" s="99"/>
      <c r="I427" s="99"/>
      <c r="J427" s="100"/>
      <c r="K427" s="97"/>
      <c r="L427" s="97"/>
      <c r="M427" s="97"/>
      <c r="N427" s="97"/>
      <c r="O427" s="97"/>
      <c r="P427" s="97"/>
      <c r="Q427" s="97"/>
      <c r="R427" s="98"/>
      <c r="S427" s="92"/>
    </row>
    <row r="428" spans="2:19" x14ac:dyDescent="0.3">
      <c r="B428" s="75"/>
      <c r="C428" s="103"/>
      <c r="D428" s="99"/>
      <c r="E428" s="99"/>
      <c r="F428" s="99"/>
      <c r="G428" s="99"/>
      <c r="H428" s="99"/>
      <c r="I428" s="99"/>
      <c r="J428" s="100"/>
      <c r="K428" s="97"/>
      <c r="L428" s="97"/>
      <c r="M428" s="97"/>
      <c r="N428" s="97"/>
      <c r="O428" s="97"/>
      <c r="P428" s="97"/>
      <c r="Q428" s="97"/>
      <c r="R428" s="98"/>
      <c r="S428" s="92"/>
    </row>
    <row r="429" spans="2:19" x14ac:dyDescent="0.3">
      <c r="B429" s="75"/>
      <c r="C429" s="103"/>
      <c r="D429" s="99"/>
      <c r="E429" s="99"/>
      <c r="F429" s="99"/>
      <c r="G429" s="99"/>
      <c r="H429" s="99"/>
      <c r="I429" s="99"/>
      <c r="J429" s="100"/>
      <c r="K429" s="97"/>
      <c r="L429" s="97"/>
      <c r="M429" s="97"/>
      <c r="N429" s="97"/>
      <c r="O429" s="97"/>
      <c r="P429" s="97"/>
      <c r="Q429" s="97"/>
      <c r="R429" s="98"/>
      <c r="S429" s="92"/>
    </row>
    <row r="430" spans="2:19" x14ac:dyDescent="0.3">
      <c r="B430" s="75"/>
      <c r="C430" s="103"/>
      <c r="D430" s="99"/>
      <c r="E430" s="99"/>
      <c r="F430" s="99"/>
      <c r="G430" s="99"/>
      <c r="H430" s="99"/>
      <c r="I430" s="99"/>
      <c r="J430" s="100"/>
      <c r="K430" s="97"/>
      <c r="L430" s="97"/>
      <c r="M430" s="97"/>
      <c r="N430" s="97"/>
      <c r="O430" s="97"/>
      <c r="P430" s="97"/>
      <c r="Q430" s="97"/>
      <c r="R430" s="98"/>
      <c r="S430" s="92"/>
    </row>
    <row r="431" spans="2:19" x14ac:dyDescent="0.3">
      <c r="B431" s="75"/>
      <c r="C431" s="103"/>
      <c r="D431" s="99"/>
      <c r="E431" s="99"/>
      <c r="F431" s="99"/>
      <c r="G431" s="99"/>
      <c r="H431" s="99"/>
      <c r="I431" s="99"/>
      <c r="J431" s="100"/>
      <c r="K431" s="97"/>
      <c r="L431" s="97"/>
      <c r="M431" s="97"/>
      <c r="N431" s="97"/>
      <c r="O431" s="97"/>
      <c r="P431" s="97"/>
      <c r="Q431" s="97"/>
      <c r="R431" s="98"/>
      <c r="S431" s="92"/>
    </row>
    <row r="432" spans="2:19" x14ac:dyDescent="0.3">
      <c r="B432" s="75"/>
      <c r="C432" s="103"/>
      <c r="D432" s="99"/>
      <c r="E432" s="99"/>
      <c r="F432" s="99"/>
      <c r="G432" s="99"/>
      <c r="H432" s="99"/>
      <c r="I432" s="99"/>
      <c r="J432" s="100"/>
      <c r="K432" s="97"/>
      <c r="L432" s="97"/>
      <c r="M432" s="97"/>
      <c r="N432" s="97"/>
      <c r="O432" s="97"/>
      <c r="P432" s="97"/>
      <c r="Q432" s="97"/>
      <c r="R432" s="98"/>
      <c r="S432" s="92"/>
    </row>
    <row r="433" spans="2:19" x14ac:dyDescent="0.3">
      <c r="B433" s="75"/>
      <c r="C433" s="103"/>
      <c r="D433" s="99"/>
      <c r="E433" s="99"/>
      <c r="F433" s="99"/>
      <c r="G433" s="99"/>
      <c r="H433" s="99"/>
      <c r="I433" s="99"/>
      <c r="J433" s="100"/>
      <c r="K433" s="97"/>
      <c r="L433" s="97"/>
      <c r="M433" s="97"/>
      <c r="N433" s="97"/>
      <c r="O433" s="97"/>
      <c r="P433" s="97"/>
      <c r="Q433" s="97"/>
      <c r="R433" s="98"/>
      <c r="S433" s="92"/>
    </row>
    <row r="434" spans="2:19" x14ac:dyDescent="0.3">
      <c r="B434" s="75"/>
      <c r="C434" s="103"/>
      <c r="D434" s="99"/>
      <c r="E434" s="99"/>
      <c r="F434" s="99"/>
      <c r="G434" s="99"/>
      <c r="H434" s="99"/>
      <c r="I434" s="99"/>
      <c r="J434" s="100"/>
      <c r="K434" s="97"/>
      <c r="L434" s="97"/>
      <c r="M434" s="97"/>
      <c r="N434" s="97"/>
      <c r="O434" s="97"/>
      <c r="P434" s="97"/>
      <c r="Q434" s="97"/>
      <c r="R434" s="98"/>
      <c r="S434" s="92"/>
    </row>
    <row r="435" spans="2:19" x14ac:dyDescent="0.3">
      <c r="B435" s="75"/>
      <c r="C435" s="103"/>
      <c r="D435" s="99"/>
      <c r="E435" s="99"/>
      <c r="F435" s="99"/>
      <c r="G435" s="99"/>
      <c r="H435" s="99"/>
      <c r="I435" s="99"/>
      <c r="J435" s="100"/>
      <c r="K435" s="97"/>
      <c r="L435" s="97"/>
      <c r="M435" s="97"/>
      <c r="N435" s="97"/>
      <c r="O435" s="97"/>
      <c r="P435" s="97"/>
      <c r="Q435" s="97"/>
      <c r="R435" s="98"/>
      <c r="S435" s="92"/>
    </row>
    <row r="436" spans="2:19" x14ac:dyDescent="0.3">
      <c r="B436" s="75"/>
      <c r="C436" s="103"/>
      <c r="D436" s="99"/>
      <c r="E436" s="99"/>
      <c r="F436" s="99"/>
      <c r="G436" s="99"/>
      <c r="H436" s="99"/>
      <c r="I436" s="99"/>
      <c r="J436" s="100"/>
      <c r="K436" s="97"/>
      <c r="L436" s="97"/>
      <c r="M436" s="97"/>
      <c r="N436" s="97"/>
      <c r="O436" s="97"/>
      <c r="P436" s="97"/>
      <c r="Q436" s="97"/>
      <c r="R436" s="98"/>
      <c r="S436" s="92"/>
    </row>
    <row r="437" spans="2:19" x14ac:dyDescent="0.3">
      <c r="B437" s="75"/>
      <c r="C437" s="103"/>
      <c r="D437" s="99"/>
      <c r="E437" s="99"/>
      <c r="F437" s="99"/>
      <c r="G437" s="99"/>
      <c r="H437" s="99"/>
      <c r="I437" s="99"/>
      <c r="J437" s="100"/>
      <c r="K437" s="97"/>
      <c r="L437" s="97"/>
      <c r="M437" s="97"/>
      <c r="N437" s="97"/>
      <c r="O437" s="97"/>
      <c r="P437" s="97"/>
      <c r="Q437" s="97"/>
      <c r="R437" s="98"/>
      <c r="S437" s="92"/>
    </row>
    <row r="438" spans="2:19" x14ac:dyDescent="0.3">
      <c r="B438" s="75"/>
      <c r="C438" s="103"/>
      <c r="D438" s="99"/>
      <c r="E438" s="99"/>
      <c r="F438" s="99"/>
      <c r="G438" s="99"/>
      <c r="H438" s="99"/>
      <c r="I438" s="99"/>
      <c r="J438" s="100"/>
      <c r="K438" s="97"/>
      <c r="L438" s="97"/>
      <c r="M438" s="97"/>
      <c r="N438" s="97"/>
      <c r="O438" s="97"/>
      <c r="P438" s="97"/>
      <c r="Q438" s="97"/>
      <c r="R438" s="98"/>
      <c r="S438" s="92"/>
    </row>
    <row r="439" spans="2:19" x14ac:dyDescent="0.3">
      <c r="B439" s="75"/>
      <c r="C439" s="103"/>
      <c r="D439" s="99"/>
      <c r="E439" s="99"/>
      <c r="F439" s="99"/>
      <c r="G439" s="99"/>
      <c r="H439" s="99"/>
      <c r="I439" s="99"/>
      <c r="J439" s="100"/>
      <c r="K439" s="97"/>
      <c r="L439" s="97"/>
      <c r="M439" s="97"/>
      <c r="N439" s="97"/>
      <c r="O439" s="97"/>
      <c r="P439" s="97"/>
      <c r="Q439" s="97"/>
      <c r="R439" s="98"/>
      <c r="S439" s="92"/>
    </row>
    <row r="440" spans="2:19" x14ac:dyDescent="0.3">
      <c r="B440" s="75"/>
      <c r="C440" s="103"/>
      <c r="D440" s="99"/>
      <c r="E440" s="99"/>
      <c r="F440" s="99"/>
      <c r="G440" s="99"/>
      <c r="H440" s="99"/>
      <c r="I440" s="99"/>
      <c r="J440" s="100"/>
      <c r="K440" s="97"/>
      <c r="L440" s="97"/>
      <c r="M440" s="97"/>
      <c r="N440" s="97"/>
      <c r="O440" s="97"/>
      <c r="P440" s="97"/>
      <c r="Q440" s="97"/>
      <c r="R440" s="98"/>
      <c r="S440" s="92"/>
    </row>
    <row r="441" spans="2:19" x14ac:dyDescent="0.3">
      <c r="B441" s="75"/>
      <c r="C441" s="103"/>
      <c r="D441" s="99"/>
      <c r="E441" s="99"/>
      <c r="F441" s="99"/>
      <c r="G441" s="99"/>
      <c r="H441" s="99"/>
      <c r="I441" s="99"/>
      <c r="J441" s="100"/>
      <c r="K441" s="97"/>
      <c r="L441" s="97"/>
      <c r="M441" s="97"/>
      <c r="N441" s="97"/>
      <c r="O441" s="97"/>
      <c r="P441" s="97"/>
      <c r="Q441" s="97"/>
      <c r="R441" s="98"/>
      <c r="S441" s="92"/>
    </row>
    <row r="442" spans="2:19" x14ac:dyDescent="0.3">
      <c r="B442" s="75"/>
      <c r="C442" s="103"/>
      <c r="D442" s="99"/>
      <c r="E442" s="99"/>
      <c r="F442" s="99"/>
      <c r="G442" s="99"/>
      <c r="H442" s="99"/>
      <c r="I442" s="99"/>
      <c r="J442" s="100"/>
      <c r="K442" s="97"/>
      <c r="L442" s="97"/>
      <c r="M442" s="97"/>
      <c r="N442" s="97"/>
      <c r="O442" s="97"/>
      <c r="P442" s="97"/>
      <c r="Q442" s="97"/>
      <c r="R442" s="98"/>
      <c r="S442" s="92"/>
    </row>
    <row r="443" spans="2:19" x14ac:dyDescent="0.3">
      <c r="B443" s="75"/>
      <c r="C443" s="103"/>
      <c r="D443" s="99"/>
      <c r="E443" s="99"/>
      <c r="F443" s="99"/>
      <c r="G443" s="99"/>
      <c r="H443" s="99"/>
      <c r="I443" s="99"/>
      <c r="J443" s="100"/>
      <c r="K443" s="97"/>
      <c r="L443" s="97"/>
      <c r="M443" s="97"/>
      <c r="N443" s="97"/>
      <c r="O443" s="97"/>
      <c r="P443" s="97"/>
      <c r="Q443" s="97"/>
      <c r="R443" s="98"/>
      <c r="S443" s="92"/>
    </row>
    <row r="444" spans="2:19" x14ac:dyDescent="0.3">
      <c r="B444" s="75"/>
      <c r="C444" s="103"/>
      <c r="D444" s="99"/>
      <c r="E444" s="99"/>
      <c r="F444" s="99"/>
      <c r="G444" s="99"/>
      <c r="H444" s="99"/>
      <c r="I444" s="99"/>
      <c r="J444" s="100"/>
      <c r="K444" s="97"/>
      <c r="L444" s="97"/>
      <c r="M444" s="97"/>
      <c r="N444" s="97"/>
      <c r="O444" s="97"/>
      <c r="P444" s="97"/>
      <c r="Q444" s="97"/>
      <c r="R444" s="98"/>
      <c r="S444" s="92"/>
    </row>
    <row r="445" spans="2:19" x14ac:dyDescent="0.3">
      <c r="B445" s="75"/>
      <c r="C445" s="103"/>
      <c r="D445" s="99"/>
      <c r="E445" s="99"/>
      <c r="F445" s="99"/>
      <c r="G445" s="99"/>
      <c r="H445" s="99"/>
      <c r="I445" s="99"/>
      <c r="J445" s="100"/>
      <c r="K445" s="97"/>
      <c r="L445" s="97"/>
      <c r="M445" s="97"/>
      <c r="N445" s="97"/>
      <c r="O445" s="97"/>
      <c r="P445" s="97"/>
      <c r="Q445" s="97"/>
      <c r="R445" s="98"/>
      <c r="S445" s="92"/>
    </row>
    <row r="446" spans="2:19" x14ac:dyDescent="0.3">
      <c r="B446" s="75"/>
      <c r="C446" s="103"/>
      <c r="D446" s="99"/>
      <c r="E446" s="99"/>
      <c r="F446" s="99"/>
      <c r="G446" s="99"/>
      <c r="H446" s="99"/>
      <c r="I446" s="99"/>
      <c r="J446" s="100"/>
      <c r="K446" s="97"/>
      <c r="L446" s="97"/>
      <c r="M446" s="97"/>
      <c r="N446" s="97"/>
      <c r="O446" s="97"/>
      <c r="P446" s="97"/>
      <c r="Q446" s="97"/>
      <c r="R446" s="98"/>
      <c r="S446" s="92"/>
    </row>
    <row r="447" spans="2:19" x14ac:dyDescent="0.3">
      <c r="B447" s="75"/>
      <c r="C447" s="103"/>
      <c r="D447" s="99"/>
      <c r="E447" s="99"/>
      <c r="F447" s="99"/>
      <c r="G447" s="99"/>
      <c r="H447" s="99"/>
      <c r="I447" s="99"/>
      <c r="J447" s="100"/>
      <c r="K447" s="97"/>
      <c r="L447" s="97"/>
      <c r="M447" s="97"/>
      <c r="N447" s="97"/>
      <c r="O447" s="97"/>
      <c r="P447" s="97"/>
      <c r="Q447" s="97"/>
      <c r="R447" s="98"/>
      <c r="S447" s="92"/>
    </row>
    <row r="448" spans="2:19" x14ac:dyDescent="0.3">
      <c r="B448" s="75"/>
      <c r="C448" s="103"/>
      <c r="D448" s="99"/>
      <c r="E448" s="99"/>
      <c r="F448" s="99"/>
      <c r="G448" s="99"/>
      <c r="H448" s="99"/>
      <c r="I448" s="99"/>
      <c r="J448" s="100"/>
      <c r="K448" s="97"/>
      <c r="L448" s="97"/>
      <c r="M448" s="97"/>
      <c r="N448" s="97"/>
      <c r="O448" s="97"/>
      <c r="P448" s="97"/>
      <c r="Q448" s="97"/>
      <c r="R448" s="98"/>
      <c r="S448" s="92"/>
    </row>
    <row r="449" spans="2:19" x14ac:dyDescent="0.3">
      <c r="B449" s="75"/>
      <c r="C449" s="103"/>
      <c r="D449" s="99"/>
      <c r="E449" s="99"/>
      <c r="F449" s="99"/>
      <c r="G449" s="99"/>
      <c r="H449" s="99"/>
      <c r="I449" s="99"/>
      <c r="J449" s="100"/>
      <c r="K449" s="97"/>
      <c r="L449" s="97"/>
      <c r="M449" s="97"/>
      <c r="N449" s="97"/>
      <c r="O449" s="97"/>
      <c r="P449" s="97"/>
      <c r="Q449" s="97"/>
      <c r="R449" s="98"/>
      <c r="S449" s="92"/>
    </row>
    <row r="450" spans="2:19" x14ac:dyDescent="0.3">
      <c r="B450" s="75"/>
      <c r="C450" s="103"/>
      <c r="D450" s="99"/>
      <c r="E450" s="99"/>
      <c r="F450" s="99"/>
      <c r="G450" s="99"/>
      <c r="H450" s="99"/>
      <c r="I450" s="99"/>
      <c r="J450" s="100"/>
      <c r="K450" s="97"/>
      <c r="L450" s="97"/>
      <c r="M450" s="97"/>
      <c r="N450" s="97"/>
      <c r="O450" s="97"/>
      <c r="P450" s="97"/>
      <c r="Q450" s="97"/>
      <c r="R450" s="98"/>
      <c r="S450" s="92"/>
    </row>
    <row r="451" spans="2:19" x14ac:dyDescent="0.3">
      <c r="B451" s="75"/>
      <c r="C451" s="103"/>
      <c r="D451" s="99"/>
      <c r="E451" s="99"/>
      <c r="F451" s="99"/>
      <c r="G451" s="99"/>
      <c r="H451" s="99"/>
      <c r="I451" s="99"/>
      <c r="J451" s="100"/>
      <c r="K451" s="97"/>
      <c r="L451" s="97"/>
      <c r="M451" s="97"/>
      <c r="N451" s="97"/>
      <c r="O451" s="97"/>
      <c r="P451" s="97"/>
      <c r="Q451" s="97"/>
      <c r="R451" s="98"/>
      <c r="S451" s="92"/>
    </row>
    <row r="452" spans="2:19" x14ac:dyDescent="0.3">
      <c r="B452" s="75"/>
      <c r="C452" s="103"/>
      <c r="D452" s="99"/>
      <c r="E452" s="99"/>
      <c r="F452" s="99"/>
      <c r="G452" s="99"/>
      <c r="H452" s="99"/>
      <c r="I452" s="99"/>
      <c r="J452" s="100"/>
      <c r="K452" s="97"/>
      <c r="L452" s="97"/>
      <c r="M452" s="97"/>
      <c r="N452" s="97"/>
      <c r="O452" s="97"/>
      <c r="P452" s="97"/>
      <c r="Q452" s="97"/>
      <c r="R452" s="98"/>
      <c r="S452" s="92"/>
    </row>
    <row r="453" spans="2:19" x14ac:dyDescent="0.3">
      <c r="B453" s="75"/>
      <c r="C453" s="103"/>
      <c r="D453" s="99"/>
      <c r="E453" s="99"/>
      <c r="F453" s="99"/>
      <c r="G453" s="99"/>
      <c r="H453" s="99"/>
      <c r="I453" s="99"/>
      <c r="J453" s="100"/>
      <c r="K453" s="97"/>
      <c r="L453" s="97"/>
      <c r="M453" s="97"/>
      <c r="N453" s="97"/>
      <c r="O453" s="97"/>
      <c r="P453" s="97"/>
      <c r="Q453" s="97"/>
      <c r="R453" s="98"/>
      <c r="S453" s="92"/>
    </row>
    <row r="454" spans="2:19" x14ac:dyDescent="0.3">
      <c r="B454" s="75"/>
      <c r="C454" s="103"/>
      <c r="D454" s="99"/>
      <c r="E454" s="99"/>
      <c r="F454" s="99"/>
      <c r="G454" s="99"/>
      <c r="H454" s="99"/>
      <c r="I454" s="99"/>
      <c r="J454" s="100"/>
      <c r="K454" s="97"/>
      <c r="L454" s="97"/>
      <c r="M454" s="97"/>
      <c r="N454" s="97"/>
      <c r="O454" s="97"/>
      <c r="P454" s="97"/>
      <c r="Q454" s="97"/>
      <c r="R454" s="98"/>
      <c r="S454" s="92"/>
    </row>
    <row r="455" spans="2:19" x14ac:dyDescent="0.3">
      <c r="B455" s="75"/>
      <c r="C455" s="103"/>
      <c r="D455" s="99"/>
      <c r="E455" s="99"/>
      <c r="F455" s="99"/>
      <c r="G455" s="99"/>
      <c r="H455" s="99"/>
      <c r="I455" s="99"/>
      <c r="J455" s="100"/>
      <c r="K455" s="97"/>
      <c r="L455" s="97"/>
      <c r="M455" s="97"/>
      <c r="N455" s="97"/>
      <c r="O455" s="97"/>
      <c r="P455" s="97"/>
      <c r="Q455" s="97"/>
      <c r="R455" s="98"/>
      <c r="S455" s="92"/>
    </row>
    <row r="456" spans="2:19" x14ac:dyDescent="0.3">
      <c r="B456" s="75"/>
      <c r="C456" s="103"/>
      <c r="D456" s="99"/>
      <c r="E456" s="99"/>
      <c r="F456" s="99"/>
      <c r="G456" s="99"/>
      <c r="H456" s="99"/>
      <c r="I456" s="99"/>
      <c r="J456" s="100"/>
      <c r="K456" s="97"/>
      <c r="L456" s="97"/>
      <c r="M456" s="97"/>
      <c r="N456" s="97"/>
      <c r="O456" s="97"/>
      <c r="P456" s="97"/>
      <c r="Q456" s="97"/>
      <c r="R456" s="98"/>
      <c r="S456" s="92"/>
    </row>
    <row r="457" spans="2:19" x14ac:dyDescent="0.3">
      <c r="B457" s="75"/>
      <c r="C457" s="103"/>
      <c r="D457" s="99"/>
      <c r="E457" s="99"/>
      <c r="F457" s="99"/>
      <c r="G457" s="99"/>
      <c r="H457" s="99"/>
      <c r="I457" s="99"/>
      <c r="J457" s="100"/>
      <c r="K457" s="97"/>
      <c r="L457" s="97"/>
      <c r="M457" s="97"/>
      <c r="N457" s="97"/>
      <c r="O457" s="97"/>
      <c r="P457" s="97"/>
      <c r="Q457" s="97"/>
      <c r="R457" s="98"/>
      <c r="S457" s="92"/>
    </row>
    <row r="458" spans="2:19" x14ac:dyDescent="0.3">
      <c r="B458" s="75"/>
      <c r="C458" s="103"/>
      <c r="D458" s="99"/>
      <c r="E458" s="99"/>
      <c r="F458" s="99"/>
      <c r="G458" s="99"/>
      <c r="H458" s="99"/>
      <c r="I458" s="99"/>
      <c r="J458" s="100"/>
      <c r="K458" s="97"/>
      <c r="L458" s="97"/>
      <c r="M458" s="97"/>
      <c r="N458" s="97"/>
      <c r="O458" s="97"/>
      <c r="P458" s="97"/>
      <c r="Q458" s="97"/>
      <c r="R458" s="98"/>
      <c r="S458" s="92"/>
    </row>
    <row r="459" spans="2:19" x14ac:dyDescent="0.3">
      <c r="B459" s="75"/>
      <c r="C459" s="103"/>
      <c r="D459" s="99"/>
      <c r="E459" s="99"/>
      <c r="F459" s="99"/>
      <c r="G459" s="99"/>
      <c r="H459" s="99"/>
      <c r="I459" s="99"/>
      <c r="J459" s="100"/>
      <c r="K459" s="97"/>
      <c r="L459" s="97"/>
      <c r="M459" s="97"/>
      <c r="N459" s="97"/>
      <c r="O459" s="97"/>
      <c r="P459" s="97"/>
      <c r="Q459" s="97"/>
      <c r="R459" s="98"/>
      <c r="S459" s="92"/>
    </row>
    <row r="460" spans="2:19" x14ac:dyDescent="0.3">
      <c r="B460" s="75"/>
      <c r="C460" s="103"/>
      <c r="D460" s="99"/>
      <c r="E460" s="99"/>
      <c r="F460" s="99"/>
      <c r="G460" s="99"/>
      <c r="H460" s="99"/>
      <c r="I460" s="99"/>
      <c r="J460" s="100"/>
      <c r="K460" s="97"/>
      <c r="L460" s="97"/>
      <c r="M460" s="97"/>
      <c r="N460" s="97"/>
      <c r="O460" s="97"/>
      <c r="P460" s="97"/>
      <c r="Q460" s="97"/>
      <c r="R460" s="98"/>
      <c r="S460" s="92"/>
    </row>
  </sheetData>
  <autoFilter ref="B7:S355"/>
  <mergeCells count="511">
    <mergeCell ref="S313:S316"/>
    <mergeCell ref="S323:S330"/>
    <mergeCell ref="S383:S384"/>
    <mergeCell ref="C3:S3"/>
    <mergeCell ref="P256:P257"/>
    <mergeCell ref="P258:P259"/>
    <mergeCell ref="P260:P261"/>
    <mergeCell ref="P262:P263"/>
    <mergeCell ref="P264:P265"/>
    <mergeCell ref="C312:K312"/>
    <mergeCell ref="C350:K350"/>
    <mergeCell ref="C345:K345"/>
    <mergeCell ref="C122:L122"/>
    <mergeCell ref="C239:K239"/>
    <mergeCell ref="P240:P241"/>
    <mergeCell ref="P242:P243"/>
    <mergeCell ref="P244:P245"/>
    <mergeCell ref="P246:P247"/>
    <mergeCell ref="P248:P249"/>
    <mergeCell ref="P250:P251"/>
    <mergeCell ref="P252:P253"/>
    <mergeCell ref="P254:P255"/>
    <mergeCell ref="C89:K89"/>
    <mergeCell ref="C8:N8"/>
    <mergeCell ref="C157:K157"/>
    <mergeCell ref="J377:J378"/>
    <mergeCell ref="B376:B378"/>
    <mergeCell ref="E302:I302"/>
    <mergeCell ref="B374:B375"/>
    <mergeCell ref="C374:C375"/>
    <mergeCell ref="E374:I374"/>
    <mergeCell ref="C376:C378"/>
    <mergeCell ref="E376:I376"/>
    <mergeCell ref="D377:D378"/>
    <mergeCell ref="B362:B363"/>
    <mergeCell ref="C362:C363"/>
    <mergeCell ref="E362:I362"/>
    <mergeCell ref="E369:I369"/>
    <mergeCell ref="B370:B372"/>
    <mergeCell ref="C370:C372"/>
    <mergeCell ref="E370:I370"/>
    <mergeCell ref="E364:I364"/>
    <mergeCell ref="B367:B368"/>
    <mergeCell ref="C367:C368"/>
    <mergeCell ref="E367:I367"/>
    <mergeCell ref="C364:C366"/>
    <mergeCell ref="B364:B366"/>
    <mergeCell ref="B356:B357"/>
    <mergeCell ref="B385:B386"/>
    <mergeCell ref="C385:C386"/>
    <mergeCell ref="E385:I385"/>
    <mergeCell ref="E380:I380"/>
    <mergeCell ref="B383:B384"/>
    <mergeCell ref="C383:C384"/>
    <mergeCell ref="E383:I383"/>
    <mergeCell ref="C380:C381"/>
    <mergeCell ref="B380:B381"/>
    <mergeCell ref="C356:C357"/>
    <mergeCell ref="E356:I356"/>
    <mergeCell ref="B358:B359"/>
    <mergeCell ref="C358:C359"/>
    <mergeCell ref="E358:I358"/>
    <mergeCell ref="E361:I361"/>
    <mergeCell ref="B286:B287"/>
    <mergeCell ref="B284:B285"/>
    <mergeCell ref="C284:C285"/>
    <mergeCell ref="E284:I284"/>
    <mergeCell ref="C286:C287"/>
    <mergeCell ref="E286:I286"/>
    <mergeCell ref="C340:R340"/>
    <mergeCell ref="B294:B298"/>
    <mergeCell ref="B299:B301"/>
    <mergeCell ref="B302:B304"/>
    <mergeCell ref="B305:B307"/>
    <mergeCell ref="B308:B309"/>
    <mergeCell ref="C299:C301"/>
    <mergeCell ref="E299:I299"/>
    <mergeCell ref="C302:C304"/>
    <mergeCell ref="C305:C307"/>
    <mergeCell ref="E305:I305"/>
    <mergeCell ref="C308:C309"/>
    <mergeCell ref="E308:I308"/>
    <mergeCell ref="B282:B283"/>
    <mergeCell ref="B280:B281"/>
    <mergeCell ref="B278:B279"/>
    <mergeCell ref="C278:C279"/>
    <mergeCell ref="E278:I278"/>
    <mergeCell ref="C280:C281"/>
    <mergeCell ref="E280:I280"/>
    <mergeCell ref="C282:C283"/>
    <mergeCell ref="E282:I282"/>
    <mergeCell ref="B270:B271"/>
    <mergeCell ref="B266:B267"/>
    <mergeCell ref="B268:B269"/>
    <mergeCell ref="B71:B72"/>
    <mergeCell ref="C71:C72"/>
    <mergeCell ref="E71:I71"/>
    <mergeCell ref="B73:B74"/>
    <mergeCell ref="C73:C74"/>
    <mergeCell ref="E73:I73"/>
    <mergeCell ref="B75:B76"/>
    <mergeCell ref="C75:C76"/>
    <mergeCell ref="E75:I75"/>
    <mergeCell ref="E101:I101"/>
    <mergeCell ref="B95:B98"/>
    <mergeCell ref="C95:C98"/>
    <mergeCell ref="E95:I95"/>
    <mergeCell ref="D96:D98"/>
    <mergeCell ref="E78:I79"/>
    <mergeCell ref="C82:C84"/>
    <mergeCell ref="E82:I82"/>
    <mergeCell ref="E85:I85"/>
    <mergeCell ref="C85:C86"/>
    <mergeCell ref="C78:C81"/>
    <mergeCell ref="E90:I90"/>
    <mergeCell ref="B65:B66"/>
    <mergeCell ref="C65:C66"/>
    <mergeCell ref="E65:I65"/>
    <mergeCell ref="B67:B68"/>
    <mergeCell ref="C67:C68"/>
    <mergeCell ref="E67:I67"/>
    <mergeCell ref="B69:B70"/>
    <mergeCell ref="C69:C70"/>
    <mergeCell ref="E69:I69"/>
    <mergeCell ref="B57:B58"/>
    <mergeCell ref="C57:C58"/>
    <mergeCell ref="E57:I57"/>
    <mergeCell ref="B59:B60"/>
    <mergeCell ref="C59:C60"/>
    <mergeCell ref="E59:I59"/>
    <mergeCell ref="B61:B62"/>
    <mergeCell ref="C61:C62"/>
    <mergeCell ref="B63:B64"/>
    <mergeCell ref="C63:C64"/>
    <mergeCell ref="E63:I63"/>
    <mergeCell ref="E61:I61"/>
    <mergeCell ref="C47:C48"/>
    <mergeCell ref="E47:I47"/>
    <mergeCell ref="C45:C46"/>
    <mergeCell ref="E45:I45"/>
    <mergeCell ref="B52:B53"/>
    <mergeCell ref="C52:C53"/>
    <mergeCell ref="B54:B56"/>
    <mergeCell ref="C54:C56"/>
    <mergeCell ref="E54:I54"/>
    <mergeCell ref="E52:I52"/>
    <mergeCell ref="C51:K51"/>
    <mergeCell ref="C31:C32"/>
    <mergeCell ref="E31:I31"/>
    <mergeCell ref="C37:C38"/>
    <mergeCell ref="E37:I37"/>
    <mergeCell ref="C35:C36"/>
    <mergeCell ref="E35:I35"/>
    <mergeCell ref="C33:C34"/>
    <mergeCell ref="E33:I33"/>
    <mergeCell ref="C43:C44"/>
    <mergeCell ref="E43:I43"/>
    <mergeCell ref="C41:C42"/>
    <mergeCell ref="E41:I41"/>
    <mergeCell ref="C39:C40"/>
    <mergeCell ref="E39:I39"/>
    <mergeCell ref="B21:B22"/>
    <mergeCell ref="C21:C22"/>
    <mergeCell ref="E21:I21"/>
    <mergeCell ref="B23:B24"/>
    <mergeCell ref="C23:C24"/>
    <mergeCell ref="E23:I23"/>
    <mergeCell ref="C29:C30"/>
    <mergeCell ref="E29:I29"/>
    <mergeCell ref="C27:C28"/>
    <mergeCell ref="E27:I27"/>
    <mergeCell ref="B25:B26"/>
    <mergeCell ref="C25:C26"/>
    <mergeCell ref="E25:I25"/>
    <mergeCell ref="B29:B30"/>
    <mergeCell ref="B27:B28"/>
    <mergeCell ref="B5:B6"/>
    <mergeCell ref="C5:C6"/>
    <mergeCell ref="D5:I6"/>
    <mergeCell ref="J5:J6"/>
    <mergeCell ref="K5:K6"/>
    <mergeCell ref="L5:M5"/>
    <mergeCell ref="N5:P5"/>
    <mergeCell ref="Q5:S5"/>
    <mergeCell ref="B9:B10"/>
    <mergeCell ref="C9:C10"/>
    <mergeCell ref="E9:I9"/>
    <mergeCell ref="B11:B12"/>
    <mergeCell ref="C11:C12"/>
    <mergeCell ref="E11:I11"/>
    <mergeCell ref="B18:B19"/>
    <mergeCell ref="C18:C19"/>
    <mergeCell ref="E18:I18"/>
    <mergeCell ref="B13:B14"/>
    <mergeCell ref="C13:C14"/>
    <mergeCell ref="E13:I13"/>
    <mergeCell ref="B15:B17"/>
    <mergeCell ref="C15:C17"/>
    <mergeCell ref="D15:D16"/>
    <mergeCell ref="E15:I16"/>
    <mergeCell ref="D91:D94"/>
    <mergeCell ref="C90:C94"/>
    <mergeCell ref="J91:J94"/>
    <mergeCell ref="B112:B113"/>
    <mergeCell ref="C112:C113"/>
    <mergeCell ref="E112:I112"/>
    <mergeCell ref="B99:B100"/>
    <mergeCell ref="C99:C100"/>
    <mergeCell ref="E99:I99"/>
    <mergeCell ref="B101:B102"/>
    <mergeCell ref="C101:C102"/>
    <mergeCell ref="B90:B94"/>
    <mergeCell ref="J96:J98"/>
    <mergeCell ref="C105:C106"/>
    <mergeCell ref="C114:C115"/>
    <mergeCell ref="E114:I114"/>
    <mergeCell ref="B105:B106"/>
    <mergeCell ref="E105:I105"/>
    <mergeCell ref="B107:B108"/>
    <mergeCell ref="C107:C108"/>
    <mergeCell ref="E107:I107"/>
    <mergeCell ref="B103:B104"/>
    <mergeCell ref="C103:C104"/>
    <mergeCell ref="E103:I103"/>
    <mergeCell ref="B109:B110"/>
    <mergeCell ref="E109:I109"/>
    <mergeCell ref="B114:B115"/>
    <mergeCell ref="C116:C117"/>
    <mergeCell ref="E116:I116"/>
    <mergeCell ref="B118:B119"/>
    <mergeCell ref="C118:C119"/>
    <mergeCell ref="E118:I118"/>
    <mergeCell ref="B166:B167"/>
    <mergeCell ref="C166:C167"/>
    <mergeCell ref="E166:I166"/>
    <mergeCell ref="B168:B169"/>
    <mergeCell ref="C168:C169"/>
    <mergeCell ref="E168:I168"/>
    <mergeCell ref="B163:B164"/>
    <mergeCell ref="C163:C164"/>
    <mergeCell ref="E163:I163"/>
    <mergeCell ref="B116:B117"/>
    <mergeCell ref="B123:B124"/>
    <mergeCell ref="C123:C124"/>
    <mergeCell ref="E123:I123"/>
    <mergeCell ref="B125:B126"/>
    <mergeCell ref="C125:C126"/>
    <mergeCell ref="E125:I125"/>
    <mergeCell ref="B127:B128"/>
    <mergeCell ref="C127:C128"/>
    <mergeCell ref="C137:C138"/>
    <mergeCell ref="B170:B171"/>
    <mergeCell ref="C170:C171"/>
    <mergeCell ref="E170:I170"/>
    <mergeCell ref="B172:B173"/>
    <mergeCell ref="C172:C173"/>
    <mergeCell ref="E172:I172"/>
    <mergeCell ref="B174:B175"/>
    <mergeCell ref="C174:C175"/>
    <mergeCell ref="E174:I174"/>
    <mergeCell ref="B176:B177"/>
    <mergeCell ref="C176:C177"/>
    <mergeCell ref="E176:I176"/>
    <mergeCell ref="B178:B180"/>
    <mergeCell ref="C178:C180"/>
    <mergeCell ref="E178:I178"/>
    <mergeCell ref="B181:B182"/>
    <mergeCell ref="C181:C182"/>
    <mergeCell ref="E181:I181"/>
    <mergeCell ref="B183:B185"/>
    <mergeCell ref="C183:C185"/>
    <mergeCell ref="E183:I183"/>
    <mergeCell ref="B186:B187"/>
    <mergeCell ref="C186:C187"/>
    <mergeCell ref="E186:I186"/>
    <mergeCell ref="B188:B189"/>
    <mergeCell ref="C188:C189"/>
    <mergeCell ref="E188:I188"/>
    <mergeCell ref="B190:B191"/>
    <mergeCell ref="C190:C191"/>
    <mergeCell ref="E190:I190"/>
    <mergeCell ref="B192:B193"/>
    <mergeCell ref="C192:C193"/>
    <mergeCell ref="E192:I192"/>
    <mergeCell ref="B194:B195"/>
    <mergeCell ref="C194:C195"/>
    <mergeCell ref="E194:I194"/>
    <mergeCell ref="E222:I222"/>
    <mergeCell ref="B224:B225"/>
    <mergeCell ref="C224:C225"/>
    <mergeCell ref="E224:I224"/>
    <mergeCell ref="E196:I196"/>
    <mergeCell ref="B198:B199"/>
    <mergeCell ref="C198:C199"/>
    <mergeCell ref="E198:I198"/>
    <mergeCell ref="B200:B201"/>
    <mergeCell ref="C200:C201"/>
    <mergeCell ref="E200:I200"/>
    <mergeCell ref="B196:B197"/>
    <mergeCell ref="C196:C197"/>
    <mergeCell ref="B216:B217"/>
    <mergeCell ref="C216:C217"/>
    <mergeCell ref="E216:I216"/>
    <mergeCell ref="B218:B219"/>
    <mergeCell ref="C218:C219"/>
    <mergeCell ref="E218:I218"/>
    <mergeCell ref="B220:B221"/>
    <mergeCell ref="C220:C221"/>
    <mergeCell ref="E220:I220"/>
    <mergeCell ref="B208:B209"/>
    <mergeCell ref="C208:C209"/>
    <mergeCell ref="E208:I208"/>
    <mergeCell ref="B210:B211"/>
    <mergeCell ref="C210:C211"/>
    <mergeCell ref="B240:B241"/>
    <mergeCell ref="C240:C241"/>
    <mergeCell ref="E240:I240"/>
    <mergeCell ref="B226:B227"/>
    <mergeCell ref="C226:C227"/>
    <mergeCell ref="E226:I226"/>
    <mergeCell ref="B228:B229"/>
    <mergeCell ref="C228:C229"/>
    <mergeCell ref="E228:I228"/>
    <mergeCell ref="C231:C233"/>
    <mergeCell ref="D231:D233"/>
    <mergeCell ref="E231:I233"/>
    <mergeCell ref="D234:D235"/>
    <mergeCell ref="E234:I235"/>
    <mergeCell ref="E210:I210"/>
    <mergeCell ref="B212:B213"/>
    <mergeCell ref="C212:C213"/>
    <mergeCell ref="B214:B215"/>
    <mergeCell ref="B222:B223"/>
    <mergeCell ref="C222:C223"/>
    <mergeCell ref="B250:B251"/>
    <mergeCell ref="C250:C251"/>
    <mergeCell ref="E250:I250"/>
    <mergeCell ref="B252:B253"/>
    <mergeCell ref="C252:C253"/>
    <mergeCell ref="E252:I252"/>
    <mergeCell ref="B242:B243"/>
    <mergeCell ref="C242:C243"/>
    <mergeCell ref="E242:I242"/>
    <mergeCell ref="B244:B245"/>
    <mergeCell ref="C244:C245"/>
    <mergeCell ref="E244:I244"/>
    <mergeCell ref="B246:B247"/>
    <mergeCell ref="C246:C247"/>
    <mergeCell ref="E246:I246"/>
    <mergeCell ref="B260:B261"/>
    <mergeCell ref="C260:C261"/>
    <mergeCell ref="E260:I260"/>
    <mergeCell ref="B202:B203"/>
    <mergeCell ref="C202:C203"/>
    <mergeCell ref="E202:I202"/>
    <mergeCell ref="B204:B205"/>
    <mergeCell ref="C204:C205"/>
    <mergeCell ref="E204:I204"/>
    <mergeCell ref="B206:B207"/>
    <mergeCell ref="C206:C207"/>
    <mergeCell ref="E206:I206"/>
    <mergeCell ref="B254:B255"/>
    <mergeCell ref="C254:C255"/>
    <mergeCell ref="E254:I254"/>
    <mergeCell ref="B256:B257"/>
    <mergeCell ref="C256:C257"/>
    <mergeCell ref="E256:I256"/>
    <mergeCell ref="B258:B259"/>
    <mergeCell ref="C258:C259"/>
    <mergeCell ref="E258:I258"/>
    <mergeCell ref="B248:B249"/>
    <mergeCell ref="C248:C249"/>
    <mergeCell ref="E248:I248"/>
    <mergeCell ref="B262:B263"/>
    <mergeCell ref="C262:C263"/>
    <mergeCell ref="E262:I262"/>
    <mergeCell ref="B264:B265"/>
    <mergeCell ref="C264:C265"/>
    <mergeCell ref="E264:I264"/>
    <mergeCell ref="C266:C267"/>
    <mergeCell ref="E266:I266"/>
    <mergeCell ref="C268:C269"/>
    <mergeCell ref="E268:I268"/>
    <mergeCell ref="E323:I323"/>
    <mergeCell ref="E325:I325"/>
    <mergeCell ref="C294:C298"/>
    <mergeCell ref="E294:I294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273:B274"/>
    <mergeCell ref="E273:I273"/>
    <mergeCell ref="C273:C274"/>
    <mergeCell ref="B158:B159"/>
    <mergeCell ref="C158:C159"/>
    <mergeCell ref="E158:I158"/>
    <mergeCell ref="B160:B161"/>
    <mergeCell ref="C160:C161"/>
    <mergeCell ref="E160:I160"/>
    <mergeCell ref="B231:B233"/>
    <mergeCell ref="B234:B236"/>
    <mergeCell ref="C327:C328"/>
    <mergeCell ref="E327:I327"/>
    <mergeCell ref="C331:C332"/>
    <mergeCell ref="E331:I331"/>
    <mergeCell ref="C333:C334"/>
    <mergeCell ref="E333:I333"/>
    <mergeCell ref="E329:I329"/>
    <mergeCell ref="C354:C355"/>
    <mergeCell ref="E354:I354"/>
    <mergeCell ref="C346:C347"/>
    <mergeCell ref="B346:B347"/>
    <mergeCell ref="B354:B355"/>
    <mergeCell ref="B351:B352"/>
    <mergeCell ref="C329:C330"/>
    <mergeCell ref="B336:B337"/>
    <mergeCell ref="B341:B342"/>
    <mergeCell ref="C341:C342"/>
    <mergeCell ref="E341:I341"/>
    <mergeCell ref="E346:I346"/>
    <mergeCell ref="B139:B140"/>
    <mergeCell ref="C139:C140"/>
    <mergeCell ref="E139:I139"/>
    <mergeCell ref="E127:I127"/>
    <mergeCell ref="B129:B130"/>
    <mergeCell ref="C129:C130"/>
    <mergeCell ref="E129:I129"/>
    <mergeCell ref="B131:B132"/>
    <mergeCell ref="C131:C132"/>
    <mergeCell ref="E131:I131"/>
    <mergeCell ref="B133:B134"/>
    <mergeCell ref="C133:C134"/>
    <mergeCell ref="E133:I133"/>
    <mergeCell ref="B78:B81"/>
    <mergeCell ref="B82:B84"/>
    <mergeCell ref="B85:B86"/>
    <mergeCell ref="C109:C110"/>
    <mergeCell ref="B147:B148"/>
    <mergeCell ref="C147:C148"/>
    <mergeCell ref="E147:I147"/>
    <mergeCell ref="B149:B150"/>
    <mergeCell ref="C149:C150"/>
    <mergeCell ref="E149:I149"/>
    <mergeCell ref="B141:B142"/>
    <mergeCell ref="C141:C142"/>
    <mergeCell ref="E141:I141"/>
    <mergeCell ref="B143:B144"/>
    <mergeCell ref="C143:C144"/>
    <mergeCell ref="E143:I143"/>
    <mergeCell ref="B145:B146"/>
    <mergeCell ref="C145:C146"/>
    <mergeCell ref="E145:I145"/>
    <mergeCell ref="B135:B136"/>
    <mergeCell ref="C135:C136"/>
    <mergeCell ref="E135:I135"/>
    <mergeCell ref="B137:B138"/>
    <mergeCell ref="E137:I137"/>
    <mergeCell ref="B151:B152"/>
    <mergeCell ref="C151:C152"/>
    <mergeCell ref="E151:I151"/>
    <mergeCell ref="B153:B154"/>
    <mergeCell ref="C153:C154"/>
    <mergeCell ref="E153:I153"/>
    <mergeCell ref="C336:C337"/>
    <mergeCell ref="E336:I336"/>
    <mergeCell ref="C313:C314"/>
    <mergeCell ref="C315:C316"/>
    <mergeCell ref="B315:B316"/>
    <mergeCell ref="B313:B314"/>
    <mergeCell ref="B317:B320"/>
    <mergeCell ref="B321:B322"/>
    <mergeCell ref="B323:B326"/>
    <mergeCell ref="B327:B328"/>
    <mergeCell ref="B331:B332"/>
    <mergeCell ref="B333:B334"/>
    <mergeCell ref="B329:B330"/>
    <mergeCell ref="E313:I313"/>
    <mergeCell ref="E315:I315"/>
    <mergeCell ref="C323:C324"/>
    <mergeCell ref="C325:C326"/>
    <mergeCell ref="E321:I321"/>
    <mergeCell ref="B392:B393"/>
    <mergeCell ref="C392:C393"/>
    <mergeCell ref="E392:I392"/>
    <mergeCell ref="C389:K389"/>
    <mergeCell ref="C409:K409"/>
    <mergeCell ref="B390:B391"/>
    <mergeCell ref="C390:C391"/>
    <mergeCell ref="E390:I390"/>
    <mergeCell ref="E212:I212"/>
    <mergeCell ref="C214:C215"/>
    <mergeCell ref="E214:I214"/>
    <mergeCell ref="E270:I270"/>
    <mergeCell ref="C270:C271"/>
    <mergeCell ref="B289:B293"/>
    <mergeCell ref="C289:C293"/>
    <mergeCell ref="E289:I289"/>
    <mergeCell ref="C234:C236"/>
    <mergeCell ref="E351:I351"/>
    <mergeCell ref="C351:C352"/>
    <mergeCell ref="C317:C320"/>
    <mergeCell ref="E317:I317"/>
    <mergeCell ref="E319:I319"/>
    <mergeCell ref="C321:C322"/>
    <mergeCell ref="C277:P277"/>
  </mergeCells>
  <pageMargins left="1.1811023622047245" right="0.39370078740157483" top="0.78740157480314965" bottom="0.78740157480314965" header="0.31496062992125984" footer="0.31496062992125984"/>
  <pageSetup paperSize="8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2022 год</vt:lpstr>
      <vt:lpstr>'2022 год'!Заголовки_для_печати</vt:lpstr>
      <vt:lpstr>'2022 год'!Область_печати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Сумачакова</dc:creator>
  <cp:lastModifiedBy>Сумачакова</cp:lastModifiedBy>
  <cp:lastPrinted>2023-05-24T02:11:04Z</cp:lastPrinted>
  <dcterms:created xsi:type="dcterms:W3CDTF">2023-04-26T04:13:10Z</dcterms:created>
  <dcterms:modified xsi:type="dcterms:W3CDTF">2023-05-24T02:54:59Z</dcterms:modified>
</cp:coreProperties>
</file>