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3105" windowHeight="2475" firstSheet="1" activeTab="5"/>
  </bookViews>
  <sheets>
    <sheet name="Доходы по кодам" sheetId="3" r:id="rId1"/>
    <sheet name="Доходы по адм-м" sheetId="4" r:id="rId2"/>
    <sheet name="Функциональная " sheetId="5" r:id="rId3"/>
    <sheet name="Ведомственная" sheetId="2" r:id="rId4"/>
    <sheet name="Источники по кодам" sheetId="6" r:id="rId5"/>
    <sheet name="Источники по адм-м" sheetId="7" r:id="rId6"/>
  </sheets>
  <definedNames>
    <definedName name="_xlnm._FilterDatabase" localSheetId="3" hidden="1">Ведомственная!$A$9:$Q$1962</definedName>
    <definedName name="_xlnm.Print_Titles" localSheetId="3">Ведомственная!$7:$9</definedName>
    <definedName name="_xlnm.Print_Titles" localSheetId="1">'Доходы по адм-м'!$7:$9</definedName>
    <definedName name="_xlnm.Print_Titles" localSheetId="0">'Доходы по кодам'!$7:$8</definedName>
    <definedName name="_xlnm.Print_Titles" localSheetId="5">'Источники по адм-м'!$7:$9</definedName>
    <definedName name="_xlnm.Print_Titles" localSheetId="4">'Источники по кодам'!$7:$8</definedName>
    <definedName name="_xlnm.Print_Titles" localSheetId="2">'Функциональная '!$6:$8</definedName>
    <definedName name="_xlnm.Print_Area" localSheetId="1">'Доходы по адм-м'!$A$1:$G$284</definedName>
    <definedName name="_xlnm.Print_Area" localSheetId="0">'Доходы по кодам'!$A$1:$G$209</definedName>
    <definedName name="_xlnm.Print_Area" localSheetId="5">'Источники по адм-м'!$A$1:$F$48</definedName>
    <definedName name="_xlnm.Print_Area" localSheetId="4">'Источники по кодам'!$A$1:$E$44</definedName>
    <definedName name="_xlnm.Print_Area" localSheetId="2">'Функциональная '!$A$1:$G$109</definedName>
  </definedNames>
  <calcPr calcId="125725" fullPrecision="0"/>
</workbook>
</file>

<file path=xl/calcChain.xml><?xml version="1.0" encoding="utf-8"?>
<calcChain xmlns="http://schemas.openxmlformats.org/spreadsheetml/2006/main">
  <c r="H10" i="6"/>
  <c r="H9"/>
  <c r="J109" i="5"/>
  <c r="K8" i="3"/>
  <c r="F11" i="7"/>
  <c r="F13"/>
  <c r="F34"/>
  <c r="F47"/>
  <c r="E47"/>
  <c r="E46" s="1"/>
  <c r="E45" s="1"/>
  <c r="D47"/>
  <c r="F46"/>
  <c r="F45" s="1"/>
  <c r="F44" s="1"/>
  <c r="D46"/>
  <c r="D45" s="1"/>
  <c r="F42"/>
  <c r="E42"/>
  <c r="D42"/>
  <c r="F41"/>
  <c r="E41"/>
  <c r="D41"/>
  <c r="F39"/>
  <c r="E39"/>
  <c r="D39"/>
  <c r="F37"/>
  <c r="E37"/>
  <c r="D37"/>
  <c r="F36"/>
  <c r="F35" s="1"/>
  <c r="E36"/>
  <c r="D36"/>
  <c r="E35"/>
  <c r="D35"/>
  <c r="E34"/>
  <c r="D34"/>
  <c r="F32"/>
  <c r="E32"/>
  <c r="D32"/>
  <c r="F30"/>
  <c r="E30"/>
  <c r="D30"/>
  <c r="F29"/>
  <c r="E29"/>
  <c r="E28" s="1"/>
  <c r="D29"/>
  <c r="F28"/>
  <c r="D28"/>
  <c r="F26"/>
  <c r="E26"/>
  <c r="D26"/>
  <c r="F24"/>
  <c r="F23" s="1"/>
  <c r="E24"/>
  <c r="D24"/>
  <c r="D23" s="1"/>
  <c r="E23"/>
  <c r="F21"/>
  <c r="F20" s="1"/>
  <c r="F19" s="1"/>
  <c r="E21"/>
  <c r="D21"/>
  <c r="D20" s="1"/>
  <c r="D19" s="1"/>
  <c r="E20"/>
  <c r="E19" s="1"/>
  <c r="F17"/>
  <c r="E17"/>
  <c r="E16" s="1"/>
  <c r="E15" s="1"/>
  <c r="E14" s="1"/>
  <c r="E11" s="1"/>
  <c r="E10" s="1"/>
  <c r="D17"/>
  <c r="F16"/>
  <c r="F15" s="1"/>
  <c r="F14" s="1"/>
  <c r="D16"/>
  <c r="D15" s="1"/>
  <c r="D14" s="1"/>
  <c r="D11" s="1"/>
  <c r="D10" s="1"/>
  <c r="D12" i="6"/>
  <c r="C12"/>
  <c r="D22"/>
  <c r="E22"/>
  <c r="D24"/>
  <c r="E24"/>
  <c r="D27"/>
  <c r="D26" s="1"/>
  <c r="E27"/>
  <c r="E26" s="1"/>
  <c r="D28"/>
  <c r="E28"/>
  <c r="D30"/>
  <c r="E30"/>
  <c r="D34"/>
  <c r="D33" s="1"/>
  <c r="E34"/>
  <c r="E33" s="1"/>
  <c r="D38"/>
  <c r="E38"/>
  <c r="D40"/>
  <c r="E40"/>
  <c r="D43"/>
  <c r="D42" s="1"/>
  <c r="E43"/>
  <c r="E42" s="1"/>
  <c r="C43"/>
  <c r="C42" s="1"/>
  <c r="C36" s="1"/>
  <c r="C40"/>
  <c r="C38"/>
  <c r="C34"/>
  <c r="C33" s="1"/>
  <c r="C30"/>
  <c r="C28"/>
  <c r="C27"/>
  <c r="C26" s="1"/>
  <c r="C24"/>
  <c r="C22"/>
  <c r="D19"/>
  <c r="D18" s="1"/>
  <c r="D17" s="1"/>
  <c r="E19"/>
  <c r="E18" s="1"/>
  <c r="E17" s="1"/>
  <c r="C19"/>
  <c r="C18" s="1"/>
  <c r="C17" s="1"/>
  <c r="D15"/>
  <c r="D14" s="1"/>
  <c r="D13" s="1"/>
  <c r="E15"/>
  <c r="E14" s="1"/>
  <c r="E13" s="1"/>
  <c r="C13"/>
  <c r="C14"/>
  <c r="C15"/>
  <c r="G94" i="3"/>
  <c r="G39"/>
  <c r="G201"/>
  <c r="G200"/>
  <c r="G208"/>
  <c r="G196"/>
  <c r="G192"/>
  <c r="G191" s="1"/>
  <c r="G178"/>
  <c r="G155"/>
  <c r="G113"/>
  <c r="F113"/>
  <c r="G110"/>
  <c r="G105"/>
  <c r="G96"/>
  <c r="G91"/>
  <c r="G89" s="1"/>
  <c r="G80"/>
  <c r="G76"/>
  <c r="G70"/>
  <c r="G63"/>
  <c r="G60" s="1"/>
  <c r="G50"/>
  <c r="G42"/>
  <c r="G37"/>
  <c r="G33"/>
  <c r="G21"/>
  <c r="G20" s="1"/>
  <c r="G30"/>
  <c r="G15"/>
  <c r="G1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F34"/>
  <c r="F35"/>
  <c r="F36"/>
  <c r="F38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4"/>
  <c r="F65"/>
  <c r="F66"/>
  <c r="F67"/>
  <c r="F68"/>
  <c r="F69"/>
  <c r="F71"/>
  <c r="F72"/>
  <c r="F73"/>
  <c r="F74"/>
  <c r="F75"/>
  <c r="F77"/>
  <c r="F78"/>
  <c r="F79"/>
  <c r="F81"/>
  <c r="F82"/>
  <c r="F83"/>
  <c r="F84"/>
  <c r="F85"/>
  <c r="F86"/>
  <c r="F87"/>
  <c r="F88"/>
  <c r="F89"/>
  <c r="F90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9"/>
  <c r="D230" i="4"/>
  <c r="E230"/>
  <c r="G11"/>
  <c r="G13"/>
  <c r="G14"/>
  <c r="G16"/>
  <c r="G17"/>
  <c r="G18"/>
  <c r="G19"/>
  <c r="G20"/>
  <c r="G22"/>
  <c r="G21" s="1"/>
  <c r="G24"/>
  <c r="G23" s="1"/>
  <c r="G26"/>
  <c r="G27"/>
  <c r="G29"/>
  <c r="G32"/>
  <c r="G33"/>
  <c r="G35"/>
  <c r="G34" s="1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4"/>
  <c r="G63" s="1"/>
  <c r="G66"/>
  <c r="G67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8"/>
  <c r="G89"/>
  <c r="G90"/>
  <c r="G91"/>
  <c r="G92"/>
  <c r="G93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6"/>
  <c r="G117"/>
  <c r="G118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2"/>
  <c r="G153"/>
  <c r="G154"/>
  <c r="G155"/>
  <c r="G156"/>
  <c r="G157"/>
  <c r="G158"/>
  <c r="G159"/>
  <c r="G160"/>
  <c r="G161"/>
  <c r="G162"/>
  <c r="G163"/>
  <c r="G165"/>
  <c r="G166"/>
  <c r="G167"/>
  <c r="G168"/>
  <c r="G169"/>
  <c r="G170"/>
  <c r="G171"/>
  <c r="G172"/>
  <c r="G173"/>
  <c r="G174"/>
  <c r="G175"/>
  <c r="G176"/>
  <c r="G178"/>
  <c r="G177" s="1"/>
  <c r="G180"/>
  <c r="G181"/>
  <c r="G182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5"/>
  <c r="G206"/>
  <c r="G207"/>
  <c r="G208"/>
  <c r="G210"/>
  <c r="G211"/>
  <c r="G212"/>
  <c r="G213"/>
  <c r="G214"/>
  <c r="G215"/>
  <c r="G216"/>
  <c r="G217"/>
  <c r="G218"/>
  <c r="G219"/>
  <c r="G221"/>
  <c r="G222"/>
  <c r="G223"/>
  <c r="G224"/>
  <c r="G225"/>
  <c r="G227"/>
  <c r="G228"/>
  <c r="G229"/>
  <c r="G231"/>
  <c r="G230" s="1"/>
  <c r="G233"/>
  <c r="G232" s="1"/>
  <c r="G235"/>
  <c r="G236"/>
  <c r="G238"/>
  <c r="G239"/>
  <c r="G240"/>
  <c r="G241"/>
  <c r="G242"/>
  <c r="G244"/>
  <c r="G245"/>
  <c r="G246"/>
  <c r="G247"/>
  <c r="G248"/>
  <c r="G249"/>
  <c r="G250"/>
  <c r="G251"/>
  <c r="G252"/>
  <c r="G253"/>
  <c r="G254"/>
  <c r="G255"/>
  <c r="G256"/>
  <c r="G257"/>
  <c r="G259"/>
  <c r="G260"/>
  <c r="G261"/>
  <c r="G262"/>
  <c r="G264"/>
  <c r="G265"/>
  <c r="G267"/>
  <c r="G268"/>
  <c r="G269"/>
  <c r="G270"/>
  <c r="G271"/>
  <c r="G272"/>
  <c r="G274"/>
  <c r="G275"/>
  <c r="G276"/>
  <c r="G277"/>
  <c r="G278"/>
  <c r="G279"/>
  <c r="G281"/>
  <c r="G282"/>
  <c r="G283"/>
  <c r="G284"/>
  <c r="E105" i="3"/>
  <c r="E96"/>
  <c r="E94"/>
  <c r="E91"/>
  <c r="D91"/>
  <c r="F91" s="1"/>
  <c r="C91"/>
  <c r="E89"/>
  <c r="E80"/>
  <c r="D80"/>
  <c r="F80" s="1"/>
  <c r="C80"/>
  <c r="E76"/>
  <c r="D76"/>
  <c r="F76" s="1"/>
  <c r="C76"/>
  <c r="E70"/>
  <c r="D70"/>
  <c r="F70" s="1"/>
  <c r="C70"/>
  <c r="E69"/>
  <c r="E63"/>
  <c r="D63"/>
  <c r="F63" s="1"/>
  <c r="C63"/>
  <c r="E60"/>
  <c r="E50"/>
  <c r="E42"/>
  <c r="E39"/>
  <c r="D39"/>
  <c r="F39" s="1"/>
  <c r="C39"/>
  <c r="E37"/>
  <c r="E36" s="1"/>
  <c r="D37"/>
  <c r="F37" s="1"/>
  <c r="C37"/>
  <c r="E33"/>
  <c r="D33"/>
  <c r="F33" s="1"/>
  <c r="C33"/>
  <c r="E30"/>
  <c r="E29" s="1"/>
  <c r="D30"/>
  <c r="F30" s="1"/>
  <c r="C30"/>
  <c r="E21"/>
  <c r="E20" s="1"/>
  <c r="E15"/>
  <c r="E12"/>
  <c r="E295" i="4"/>
  <c r="E294"/>
  <c r="E293"/>
  <c r="D293"/>
  <c r="E292"/>
  <c r="E296" s="1"/>
  <c r="E297" s="1"/>
  <c r="E287"/>
  <c r="D287"/>
  <c r="F284"/>
  <c r="F283"/>
  <c r="F282"/>
  <c r="F281"/>
  <c r="F280" s="1"/>
  <c r="E280"/>
  <c r="D280"/>
  <c r="F279"/>
  <c r="F278"/>
  <c r="F277"/>
  <c r="F276"/>
  <c r="F275"/>
  <c r="F274"/>
  <c r="F273" s="1"/>
  <c r="E273"/>
  <c r="D273"/>
  <c r="F272"/>
  <c r="F271"/>
  <c r="F270"/>
  <c r="F269"/>
  <c r="F267"/>
  <c r="E266"/>
  <c r="D266"/>
  <c r="F265"/>
  <c r="F264"/>
  <c r="E263"/>
  <c r="D263"/>
  <c r="F262"/>
  <c r="F261"/>
  <c r="F260"/>
  <c r="F259"/>
  <c r="E258"/>
  <c r="D258"/>
  <c r="F257"/>
  <c r="F256"/>
  <c r="F255"/>
  <c r="F254"/>
  <c r="F253"/>
  <c r="F252"/>
  <c r="F251"/>
  <c r="F250"/>
  <c r="F249"/>
  <c r="F248"/>
  <c r="F247"/>
  <c r="F246"/>
  <c r="F245"/>
  <c r="F244"/>
  <c r="E243"/>
  <c r="D243"/>
  <c r="F242"/>
  <c r="F241"/>
  <c r="F240"/>
  <c r="F239"/>
  <c r="F238"/>
  <c r="E237"/>
  <c r="D237"/>
  <c r="F236"/>
  <c r="F235"/>
  <c r="E234"/>
  <c r="D234"/>
  <c r="F233"/>
  <c r="F232" s="1"/>
  <c r="E232"/>
  <c r="D232"/>
  <c r="F231"/>
  <c r="F230" s="1"/>
  <c r="F229"/>
  <c r="F228"/>
  <c r="F227"/>
  <c r="E226"/>
  <c r="D226"/>
  <c r="F225"/>
  <c r="F224"/>
  <c r="F223"/>
  <c r="F222"/>
  <c r="F221"/>
  <c r="E220"/>
  <c r="D220"/>
  <c r="F219"/>
  <c r="F218"/>
  <c r="F217"/>
  <c r="F216"/>
  <c r="F215"/>
  <c r="F214"/>
  <c r="F213"/>
  <c r="F212"/>
  <c r="F211"/>
  <c r="F210"/>
  <c r="E209"/>
  <c r="D209"/>
  <c r="F208"/>
  <c r="F207"/>
  <c r="F206"/>
  <c r="F205"/>
  <c r="E204"/>
  <c r="D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E183"/>
  <c r="D183"/>
  <c r="F182"/>
  <c r="F181"/>
  <c r="F180"/>
  <c r="E179"/>
  <c r="D179"/>
  <c r="F178"/>
  <c r="F177" s="1"/>
  <c r="E177"/>
  <c r="D177"/>
  <c r="F176"/>
  <c r="F175"/>
  <c r="F174"/>
  <c r="F173"/>
  <c r="F172"/>
  <c r="D170"/>
  <c r="F169"/>
  <c r="F168"/>
  <c r="F167"/>
  <c r="F166"/>
  <c r="F165"/>
  <c r="E164"/>
  <c r="F163"/>
  <c r="F162"/>
  <c r="F161"/>
  <c r="F160"/>
  <c r="F159"/>
  <c r="F158"/>
  <c r="F157"/>
  <c r="F156"/>
  <c r="F155"/>
  <c r="F154"/>
  <c r="F153"/>
  <c r="F152"/>
  <c r="E151"/>
  <c r="D151"/>
  <c r="F150"/>
  <c r="F149"/>
  <c r="D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E119"/>
  <c r="D119"/>
  <c r="F118"/>
  <c r="F117"/>
  <c r="F116"/>
  <c r="E115"/>
  <c r="D115"/>
  <c r="F114"/>
  <c r="F113"/>
  <c r="F112"/>
  <c r="D111"/>
  <c r="F111" s="1"/>
  <c r="F110"/>
  <c r="F109"/>
  <c r="F108"/>
  <c r="F107"/>
  <c r="F106"/>
  <c r="F105"/>
  <c r="F104"/>
  <c r="F103"/>
  <c r="F102"/>
  <c r="F101"/>
  <c r="F100"/>
  <c r="D99"/>
  <c r="F99" s="1"/>
  <c r="F98"/>
  <c r="F97"/>
  <c r="F96"/>
  <c r="F95"/>
  <c r="E94"/>
  <c r="D94"/>
  <c r="F93"/>
  <c r="F92"/>
  <c r="F91"/>
  <c r="F90"/>
  <c r="F89"/>
  <c r="F88"/>
  <c r="E87"/>
  <c r="D87"/>
  <c r="D86"/>
  <c r="D295" s="1"/>
  <c r="F85"/>
  <c r="F84"/>
  <c r="D83"/>
  <c r="F83" s="1"/>
  <c r="F82"/>
  <c r="F81"/>
  <c r="F80"/>
  <c r="F79"/>
  <c r="F78"/>
  <c r="F77"/>
  <c r="F76"/>
  <c r="F75"/>
  <c r="F74"/>
  <c r="F73"/>
  <c r="F72"/>
  <c r="F71"/>
  <c r="F70"/>
  <c r="F69"/>
  <c r="E68"/>
  <c r="D68"/>
  <c r="F67"/>
  <c r="F66"/>
  <c r="E65"/>
  <c r="D65"/>
  <c r="F64"/>
  <c r="F63" s="1"/>
  <c r="E63"/>
  <c r="D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E36"/>
  <c r="D36"/>
  <c r="F35"/>
  <c r="F34" s="1"/>
  <c r="E34"/>
  <c r="D34"/>
  <c r="F33"/>
  <c r="F32"/>
  <c r="E31"/>
  <c r="D31"/>
  <c r="F30"/>
  <c r="F29"/>
  <c r="F28"/>
  <c r="F27"/>
  <c r="F26"/>
  <c r="E25"/>
  <c r="D25"/>
  <c r="F24"/>
  <c r="F23" s="1"/>
  <c r="E23"/>
  <c r="D23"/>
  <c r="F22"/>
  <c r="F21" s="1"/>
  <c r="E21"/>
  <c r="D21"/>
  <c r="F20"/>
  <c r="F19"/>
  <c r="F18"/>
  <c r="F17"/>
  <c r="F16"/>
  <c r="E15"/>
  <c r="D15"/>
  <c r="F14"/>
  <c r="F13"/>
  <c r="E12"/>
  <c r="D12"/>
  <c r="D286" s="1"/>
  <c r="K1959" i="2"/>
  <c r="J1959"/>
  <c r="J1958"/>
  <c r="M1957"/>
  <c r="I1957"/>
  <c r="J1955"/>
  <c r="J1954" s="1"/>
  <c r="M1954"/>
  <c r="K1954"/>
  <c r="I1954"/>
  <c r="J1953"/>
  <c r="J1952" s="1"/>
  <c r="M1952"/>
  <c r="M1951" s="1"/>
  <c r="K1952"/>
  <c r="I1952"/>
  <c r="J1950"/>
  <c r="J1949" s="1"/>
  <c r="M1949"/>
  <c r="K1949"/>
  <c r="I1949"/>
  <c r="J1945"/>
  <c r="J1944" s="1"/>
  <c r="M1944"/>
  <c r="K1944"/>
  <c r="I1944"/>
  <c r="H1944"/>
  <c r="J1941"/>
  <c r="J1940" s="1"/>
  <c r="M1940"/>
  <c r="K1940"/>
  <c r="I1940"/>
  <c r="J1938"/>
  <c r="J1937"/>
  <c r="K1936"/>
  <c r="J1936"/>
  <c r="J1935"/>
  <c r="J1934"/>
  <c r="M1933"/>
  <c r="I1933"/>
  <c r="J1928"/>
  <c r="J1927"/>
  <c r="K1926"/>
  <c r="J1926"/>
  <c r="J1925"/>
  <c r="J1924"/>
  <c r="K1923"/>
  <c r="J1923"/>
  <c r="L1923" s="1"/>
  <c r="M1922"/>
  <c r="I1922"/>
  <c r="K1917"/>
  <c r="J1917"/>
  <c r="M1916"/>
  <c r="J1916"/>
  <c r="I1916"/>
  <c r="K1914"/>
  <c r="J1914"/>
  <c r="M1913"/>
  <c r="M1912" s="1"/>
  <c r="I1913"/>
  <c r="I1912" s="1"/>
  <c r="H1913"/>
  <c r="H1912" s="1"/>
  <c r="J1908"/>
  <c r="J1907"/>
  <c r="M1906"/>
  <c r="K1906"/>
  <c r="I1906"/>
  <c r="K1902"/>
  <c r="K1899" s="1"/>
  <c r="I1902"/>
  <c r="J1901"/>
  <c r="J1900"/>
  <c r="M1899"/>
  <c r="I1899"/>
  <c r="M1898"/>
  <c r="K1898"/>
  <c r="I1898"/>
  <c r="K1897"/>
  <c r="J1897"/>
  <c r="K1896"/>
  <c r="J1896"/>
  <c r="L1895"/>
  <c r="M1894"/>
  <c r="K1894"/>
  <c r="I1894"/>
  <c r="M1892"/>
  <c r="M1891" s="1"/>
  <c r="L1891"/>
  <c r="K1889"/>
  <c r="J1889"/>
  <c r="K1888"/>
  <c r="J1888"/>
  <c r="M1887"/>
  <c r="I1887"/>
  <c r="H1887"/>
  <c r="J1885"/>
  <c r="J1884"/>
  <c r="M1883"/>
  <c r="K1883"/>
  <c r="J1883"/>
  <c r="J1882"/>
  <c r="M1881"/>
  <c r="J1881"/>
  <c r="K1880"/>
  <c r="J1880"/>
  <c r="M1879"/>
  <c r="I1879"/>
  <c r="M1874"/>
  <c r="I1874"/>
  <c r="K1873"/>
  <c r="I1873"/>
  <c r="I1871" s="1"/>
  <c r="H1873"/>
  <c r="M1869"/>
  <c r="J1869"/>
  <c r="K1868"/>
  <c r="J1868"/>
  <c r="I1868"/>
  <c r="J1863"/>
  <c r="M1862"/>
  <c r="J1862"/>
  <c r="M1861"/>
  <c r="K1861"/>
  <c r="I1861"/>
  <c r="H1861"/>
  <c r="J1857"/>
  <c r="J1856"/>
  <c r="J1855"/>
  <c r="J1854"/>
  <c r="J1853" s="1"/>
  <c r="M1853"/>
  <c r="K1853"/>
  <c r="I1853"/>
  <c r="I1852"/>
  <c r="I1851" s="1"/>
  <c r="M1851"/>
  <c r="K1851"/>
  <c r="J1850"/>
  <c r="J1849"/>
  <c r="J1848"/>
  <c r="K1847"/>
  <c r="J1847"/>
  <c r="J1846"/>
  <c r="K1845"/>
  <c r="J1845"/>
  <c r="J1844"/>
  <c r="M1843"/>
  <c r="I1843"/>
  <c r="J1840"/>
  <c r="J1839" s="1"/>
  <c r="M1839"/>
  <c r="K1839"/>
  <c r="I1839"/>
  <c r="M1837"/>
  <c r="I1837"/>
  <c r="M1836"/>
  <c r="K1836"/>
  <c r="I1836"/>
  <c r="K1835"/>
  <c r="K1834" s="1"/>
  <c r="H1834"/>
  <c r="J1832"/>
  <c r="J1831"/>
  <c r="K1830"/>
  <c r="J1830"/>
  <c r="J1829"/>
  <c r="J1828"/>
  <c r="K1827"/>
  <c r="J1827"/>
  <c r="M1826"/>
  <c r="I1826"/>
  <c r="M1821"/>
  <c r="J1821"/>
  <c r="J1820"/>
  <c r="J1819"/>
  <c r="J1818"/>
  <c r="K1817"/>
  <c r="I1817"/>
  <c r="K1813"/>
  <c r="J1813"/>
  <c r="J1812"/>
  <c r="J1811"/>
  <c r="M1810"/>
  <c r="K1810"/>
  <c r="J1810"/>
  <c r="J1809"/>
  <c r="J1808"/>
  <c r="I1807"/>
  <c r="M1804"/>
  <c r="K1804"/>
  <c r="J1804"/>
  <c r="J1803"/>
  <c r="J1802"/>
  <c r="J1801"/>
  <c r="J1800"/>
  <c r="L1800" s="1"/>
  <c r="M1799"/>
  <c r="I1799"/>
  <c r="J1796"/>
  <c r="J1795" s="1"/>
  <c r="M1795"/>
  <c r="K1795"/>
  <c r="I1795"/>
  <c r="H1795"/>
  <c r="K1794"/>
  <c r="J1794"/>
  <c r="K1793"/>
  <c r="J1793"/>
  <c r="J1792"/>
  <c r="J1791"/>
  <c r="L1791" s="1"/>
  <c r="M1790"/>
  <c r="M1789" s="1"/>
  <c r="K1790"/>
  <c r="K1789" s="1"/>
  <c r="I1790"/>
  <c r="I1789" s="1"/>
  <c r="J1787"/>
  <c r="L1788"/>
  <c r="M1787"/>
  <c r="K1787"/>
  <c r="I1787"/>
  <c r="J1781"/>
  <c r="J1780" s="1"/>
  <c r="M1780"/>
  <c r="K1780"/>
  <c r="I1780"/>
  <c r="J1775"/>
  <c r="J1774"/>
  <c r="M1773"/>
  <c r="K1773"/>
  <c r="I1773"/>
  <c r="K1772"/>
  <c r="J1769"/>
  <c r="J1768" s="1"/>
  <c r="M1768"/>
  <c r="K1768"/>
  <c r="K1767" s="1"/>
  <c r="I1768"/>
  <c r="J1766"/>
  <c r="J1765"/>
  <c r="J1764"/>
  <c r="J1763"/>
  <c r="J1762"/>
  <c r="J1761"/>
  <c r="M1760"/>
  <c r="K1760"/>
  <c r="I1760"/>
  <c r="J1755"/>
  <c r="J1754"/>
  <c r="M1753"/>
  <c r="K1753"/>
  <c r="I1753"/>
  <c r="L1750"/>
  <c r="M1749"/>
  <c r="L1749"/>
  <c r="K1749"/>
  <c r="J1749"/>
  <c r="J1744"/>
  <c r="J1743"/>
  <c r="K1742"/>
  <c r="I1742"/>
  <c r="J1742" s="1"/>
  <c r="K1741"/>
  <c r="J1741"/>
  <c r="M1740"/>
  <c r="J1740"/>
  <c r="J1739"/>
  <c r="I1738"/>
  <c r="L1735"/>
  <c r="L1732" s="1"/>
  <c r="M1732"/>
  <c r="K1732"/>
  <c r="J1732"/>
  <c r="J1731"/>
  <c r="J1730" s="1"/>
  <c r="M1730"/>
  <c r="K1730"/>
  <c r="I1730"/>
  <c r="L1727"/>
  <c r="M1726"/>
  <c r="L1726"/>
  <c r="K1726"/>
  <c r="J1726"/>
  <c r="L1722"/>
  <c r="L1721" s="1"/>
  <c r="M1721"/>
  <c r="K1721"/>
  <c r="J1720"/>
  <c r="J1719"/>
  <c r="J1718"/>
  <c r="J1717"/>
  <c r="L1716"/>
  <c r="J1715"/>
  <c r="L1715" s="1"/>
  <c r="M1714"/>
  <c r="K1714"/>
  <c r="I1714"/>
  <c r="J1712"/>
  <c r="J1711"/>
  <c r="K1710"/>
  <c r="J1710"/>
  <c r="K1709"/>
  <c r="J1709"/>
  <c r="J1708"/>
  <c r="J1707"/>
  <c r="M1706"/>
  <c r="I1706"/>
  <c r="J1703"/>
  <c r="J1702" s="1"/>
  <c r="M1702"/>
  <c r="K1702"/>
  <c r="K1701" s="1"/>
  <c r="I1702"/>
  <c r="L1700"/>
  <c r="M1699"/>
  <c r="L1699"/>
  <c r="K1699"/>
  <c r="J1699"/>
  <c r="J1695"/>
  <c r="J1694" s="1"/>
  <c r="M1694"/>
  <c r="K1694"/>
  <c r="I1694"/>
  <c r="J1689"/>
  <c r="J1688" s="1"/>
  <c r="M1688"/>
  <c r="K1688"/>
  <c r="I1688"/>
  <c r="J1684"/>
  <c r="J1683"/>
  <c r="L1683" s="1"/>
  <c r="M1682"/>
  <c r="K1682"/>
  <c r="I1682"/>
  <c r="I1678"/>
  <c r="I1677" s="1"/>
  <c r="M1677"/>
  <c r="K1677"/>
  <c r="H1677"/>
  <c r="J1673"/>
  <c r="L1673" s="1"/>
  <c r="M1672"/>
  <c r="K1672"/>
  <c r="I1672"/>
  <c r="J1668"/>
  <c r="J1667"/>
  <c r="L1667" s="1"/>
  <c r="M1666"/>
  <c r="K1666"/>
  <c r="I1666"/>
  <c r="J1665"/>
  <c r="J1664"/>
  <c r="J1663"/>
  <c r="K1662"/>
  <c r="I1662"/>
  <c r="J1662" s="1"/>
  <c r="L1662" s="1"/>
  <c r="K1661"/>
  <c r="I1661"/>
  <c r="I1658" s="1"/>
  <c r="J1660"/>
  <c r="J1659"/>
  <c r="M1658"/>
  <c r="K1658"/>
  <c r="J1656"/>
  <c r="L1656" s="1"/>
  <c r="M1655"/>
  <c r="L1655"/>
  <c r="K1655"/>
  <c r="K1654" s="1"/>
  <c r="J1655"/>
  <c r="I1655"/>
  <c r="K1653"/>
  <c r="M1652"/>
  <c r="K1652"/>
  <c r="J1652"/>
  <c r="L1651"/>
  <c r="L1650"/>
  <c r="M1649"/>
  <c r="K1649"/>
  <c r="J1649"/>
  <c r="K1648"/>
  <c r="J1648"/>
  <c r="K1647"/>
  <c r="J1647"/>
  <c r="L1646"/>
  <c r="K1645"/>
  <c r="J1645"/>
  <c r="K1644"/>
  <c r="J1644"/>
  <c r="K1643"/>
  <c r="J1643"/>
  <c r="J1642"/>
  <c r="L1642" s="1"/>
  <c r="M1641"/>
  <c r="I1641"/>
  <c r="J1638"/>
  <c r="J1637"/>
  <c r="I1636"/>
  <c r="M1635"/>
  <c r="K1635"/>
  <c r="I1635"/>
  <c r="J1634"/>
  <c r="J1633"/>
  <c r="J1632"/>
  <c r="I1631"/>
  <c r="J1630"/>
  <c r="J1629" s="1"/>
  <c r="M1629"/>
  <c r="K1629"/>
  <c r="I1629"/>
  <c r="J1627"/>
  <c r="J1626" s="1"/>
  <c r="M1626"/>
  <c r="K1626"/>
  <c r="I1626"/>
  <c r="J1625"/>
  <c r="J1624"/>
  <c r="K1623"/>
  <c r="J1623"/>
  <c r="J1622"/>
  <c r="K1621"/>
  <c r="J1621"/>
  <c r="K1620"/>
  <c r="J1620"/>
  <c r="M1619"/>
  <c r="I1619"/>
  <c r="M1616"/>
  <c r="J1616"/>
  <c r="J1615"/>
  <c r="M1614"/>
  <c r="J1614"/>
  <c r="K1613"/>
  <c r="I1613"/>
  <c r="H1613"/>
  <c r="J1612"/>
  <c r="M1611"/>
  <c r="J1611"/>
  <c r="M1610"/>
  <c r="J1610"/>
  <c r="M1609"/>
  <c r="J1609"/>
  <c r="K1608"/>
  <c r="K1607" s="1"/>
  <c r="I1608"/>
  <c r="I1607" s="1"/>
  <c r="H1608"/>
  <c r="J1604"/>
  <c r="J1603"/>
  <c r="M1602"/>
  <c r="K1602"/>
  <c r="I1602"/>
  <c r="J1598"/>
  <c r="J1597"/>
  <c r="K1596"/>
  <c r="K1592" s="1"/>
  <c r="K1591" s="1"/>
  <c r="J1595"/>
  <c r="J1594"/>
  <c r="J1593"/>
  <c r="M1592"/>
  <c r="I1592"/>
  <c r="J1589"/>
  <c r="J1588" s="1"/>
  <c r="M1588"/>
  <c r="K1588"/>
  <c r="I1588"/>
  <c r="J1587"/>
  <c r="J1586" s="1"/>
  <c r="M1586"/>
  <c r="K1586"/>
  <c r="I1586"/>
  <c r="J1585"/>
  <c r="J1584"/>
  <c r="J1583"/>
  <c r="M1582"/>
  <c r="K1582"/>
  <c r="I1582"/>
  <c r="J1575"/>
  <c r="J1574"/>
  <c r="M1573"/>
  <c r="K1573"/>
  <c r="I1573"/>
  <c r="J1572"/>
  <c r="J1571"/>
  <c r="K1570"/>
  <c r="J1570"/>
  <c r="K1569"/>
  <c r="J1569"/>
  <c r="J1568"/>
  <c r="J1567"/>
  <c r="M1566"/>
  <c r="I1566"/>
  <c r="I1565" s="1"/>
  <c r="J1562"/>
  <c r="J1561"/>
  <c r="M1560"/>
  <c r="K1560"/>
  <c r="I1560"/>
  <c r="K1559"/>
  <c r="L1556"/>
  <c r="K1555"/>
  <c r="M1554"/>
  <c r="K1554"/>
  <c r="J1554"/>
  <c r="J1552"/>
  <c r="M1551"/>
  <c r="J1551"/>
  <c r="K1550"/>
  <c r="K1549"/>
  <c r="J1549"/>
  <c r="K1548"/>
  <c r="J1548"/>
  <c r="J1547"/>
  <c r="J1546"/>
  <c r="I1545"/>
  <c r="K1540"/>
  <c r="J1540"/>
  <c r="K1539"/>
  <c r="J1539"/>
  <c r="M1538"/>
  <c r="I1538"/>
  <c r="K1534"/>
  <c r="J1534"/>
  <c r="J1533"/>
  <c r="K1531"/>
  <c r="J1531"/>
  <c r="K1530"/>
  <c r="J1530"/>
  <c r="K1529"/>
  <c r="J1529"/>
  <c r="K1528"/>
  <c r="J1528"/>
  <c r="M1527"/>
  <c r="I1527"/>
  <c r="J1522"/>
  <c r="J1521"/>
  <c r="M1520"/>
  <c r="J1520"/>
  <c r="M1519"/>
  <c r="J1519"/>
  <c r="J1518"/>
  <c r="J1517"/>
  <c r="K1516"/>
  <c r="I1516"/>
  <c r="J1514"/>
  <c r="K1513"/>
  <c r="J1513"/>
  <c r="K1512"/>
  <c r="J1512"/>
  <c r="J1511" s="1"/>
  <c r="M1511"/>
  <c r="I1511"/>
  <c r="K1509"/>
  <c r="J1509"/>
  <c r="J1508"/>
  <c r="K1507"/>
  <c r="J1507"/>
  <c r="J1506"/>
  <c r="J1505"/>
  <c r="J1504"/>
  <c r="M1503"/>
  <c r="M1502" s="1"/>
  <c r="I1503"/>
  <c r="I1502" s="1"/>
  <c r="M1500"/>
  <c r="K1500"/>
  <c r="J1500"/>
  <c r="I1499"/>
  <c r="J1498"/>
  <c r="J1497" s="1"/>
  <c r="M1497"/>
  <c r="K1497"/>
  <c r="I1497"/>
  <c r="I1496" s="1"/>
  <c r="J1495"/>
  <c r="J1494" s="1"/>
  <c r="M1494"/>
  <c r="K1494"/>
  <c r="I1494"/>
  <c r="M1491"/>
  <c r="M1490" s="1"/>
  <c r="L1491"/>
  <c r="M1488"/>
  <c r="J1488"/>
  <c r="J1487" s="1"/>
  <c r="K1487"/>
  <c r="I1487"/>
  <c r="M1484"/>
  <c r="L1484"/>
  <c r="K1481"/>
  <c r="J1481"/>
  <c r="M1480"/>
  <c r="K1480"/>
  <c r="I1480"/>
  <c r="H1480"/>
  <c r="J1476"/>
  <c r="L1476" s="1"/>
  <c r="L1475" s="1"/>
  <c r="M1475"/>
  <c r="K1475"/>
  <c r="I1475"/>
  <c r="K1474"/>
  <c r="J1474"/>
  <c r="M1473"/>
  <c r="J1473"/>
  <c r="I1473"/>
  <c r="K1471"/>
  <c r="I1471"/>
  <c r="M1470"/>
  <c r="I1470"/>
  <c r="H1470"/>
  <c r="M1467"/>
  <c r="M1466" s="1"/>
  <c r="L1467"/>
  <c r="L1465"/>
  <c r="M1464"/>
  <c r="L1464"/>
  <c r="K1464"/>
  <c r="J1464"/>
  <c r="K1459"/>
  <c r="J1459"/>
  <c r="J1457" s="1"/>
  <c r="K1458"/>
  <c r="M1457"/>
  <c r="I1457"/>
  <c r="H1457"/>
  <c r="K1455"/>
  <c r="J1455"/>
  <c r="M1454"/>
  <c r="I1454"/>
  <c r="H1454"/>
  <c r="J1450"/>
  <c r="J1449" s="1"/>
  <c r="M1449"/>
  <c r="K1449"/>
  <c r="I1449"/>
  <c r="H1449"/>
  <c r="J1447"/>
  <c r="J1446" s="1"/>
  <c r="M1446"/>
  <c r="M1445" s="1"/>
  <c r="K1446"/>
  <c r="I1446"/>
  <c r="H1446"/>
  <c r="J1444"/>
  <c r="J1443" s="1"/>
  <c r="M1443"/>
  <c r="K1443"/>
  <c r="I1443"/>
  <c r="I1441"/>
  <c r="I1440" s="1"/>
  <c r="M1440"/>
  <c r="K1440"/>
  <c r="H1440"/>
  <c r="I1436"/>
  <c r="I1435" s="1"/>
  <c r="M1435"/>
  <c r="K1435"/>
  <c r="K1434" s="1"/>
  <c r="J1433"/>
  <c r="J1432"/>
  <c r="K1431"/>
  <c r="J1431"/>
  <c r="J1430"/>
  <c r="K1429"/>
  <c r="K1427" s="1"/>
  <c r="J1429"/>
  <c r="J1428"/>
  <c r="M1427"/>
  <c r="I1427"/>
  <c r="J1422"/>
  <c r="J1421" s="1"/>
  <c r="M1421"/>
  <c r="K1421"/>
  <c r="I1421"/>
  <c r="J1416"/>
  <c r="J1415" s="1"/>
  <c r="M1415"/>
  <c r="K1415"/>
  <c r="I1415"/>
  <c r="J1411"/>
  <c r="J1410"/>
  <c r="J1409"/>
  <c r="J1408"/>
  <c r="J1407"/>
  <c r="K1406"/>
  <c r="J1406"/>
  <c r="J1405"/>
  <c r="J1404"/>
  <c r="M1403"/>
  <c r="I1403"/>
  <c r="J1401"/>
  <c r="J1400"/>
  <c r="J1399"/>
  <c r="J1398"/>
  <c r="J1397"/>
  <c r="K1396"/>
  <c r="J1396"/>
  <c r="M1395"/>
  <c r="I1395"/>
  <c r="J1390"/>
  <c r="J1389" s="1"/>
  <c r="M1389"/>
  <c r="K1389"/>
  <c r="I1389"/>
  <c r="I1388"/>
  <c r="I1387" s="1"/>
  <c r="M1387"/>
  <c r="M1386" s="1"/>
  <c r="K1387"/>
  <c r="J1383"/>
  <c r="J1382" s="1"/>
  <c r="M1382"/>
  <c r="K1382"/>
  <c r="I1382"/>
  <c r="M1378"/>
  <c r="M1376" s="1"/>
  <c r="L1376"/>
  <c r="K1375"/>
  <c r="K1373" s="1"/>
  <c r="J1374"/>
  <c r="J1373" s="1"/>
  <c r="M1373"/>
  <c r="I1373"/>
  <c r="J1372"/>
  <c r="J1371"/>
  <c r="L1370"/>
  <c r="M1369"/>
  <c r="K1369"/>
  <c r="I1369"/>
  <c r="I1368" s="1"/>
  <c r="J1367"/>
  <c r="J1365"/>
  <c r="M1364"/>
  <c r="K1364"/>
  <c r="I1364"/>
  <c r="J1363"/>
  <c r="J1362" s="1"/>
  <c r="M1362"/>
  <c r="K1362"/>
  <c r="I1362"/>
  <c r="H1362"/>
  <c r="L1361"/>
  <c r="J1360"/>
  <c r="J1359" s="1"/>
  <c r="M1359"/>
  <c r="K1359"/>
  <c r="I1359"/>
  <c r="K1357"/>
  <c r="J1357"/>
  <c r="L1356"/>
  <c r="M1355"/>
  <c r="K1355"/>
  <c r="I1355"/>
  <c r="L1351"/>
  <c r="M1350"/>
  <c r="L1350"/>
  <c r="K1350"/>
  <c r="J1350"/>
  <c r="J1348"/>
  <c r="J1347"/>
  <c r="K1346"/>
  <c r="J1346"/>
  <c r="K1345"/>
  <c r="J1345"/>
  <c r="K1344"/>
  <c r="J1344"/>
  <c r="K1343"/>
  <c r="J1343"/>
  <c r="M1342"/>
  <c r="I1342"/>
  <c r="L1339"/>
  <c r="K1338"/>
  <c r="M1337"/>
  <c r="K1337"/>
  <c r="J1337"/>
  <c r="L1336"/>
  <c r="M1335"/>
  <c r="L1335"/>
  <c r="K1335"/>
  <c r="J1335"/>
  <c r="L1334"/>
  <c r="M1333"/>
  <c r="L1333"/>
  <c r="K1333"/>
  <c r="J1333"/>
  <c r="J1330"/>
  <c r="J1329" s="1"/>
  <c r="M1329"/>
  <c r="M1328" s="1"/>
  <c r="K1329"/>
  <c r="I1329"/>
  <c r="H1329"/>
  <c r="J1327"/>
  <c r="L1327" s="1"/>
  <c r="M1326"/>
  <c r="K1326"/>
  <c r="I1326"/>
  <c r="J1325"/>
  <c r="J1324" s="1"/>
  <c r="M1324"/>
  <c r="K1324"/>
  <c r="I1324"/>
  <c r="J1323"/>
  <c r="J1322"/>
  <c r="M1321"/>
  <c r="K1321"/>
  <c r="I1321"/>
  <c r="K1320"/>
  <c r="J1320"/>
  <c r="J1319" s="1"/>
  <c r="M1319"/>
  <c r="I1319"/>
  <c r="J1318"/>
  <c r="L1318" s="1"/>
  <c r="M1317"/>
  <c r="K1317"/>
  <c r="I1317"/>
  <c r="J1316"/>
  <c r="J1315"/>
  <c r="L1315" s="1"/>
  <c r="M1314"/>
  <c r="K1314"/>
  <c r="I1314"/>
  <c r="J1313"/>
  <c r="J1312"/>
  <c r="J1311"/>
  <c r="M1310"/>
  <c r="K1310"/>
  <c r="I1310"/>
  <c r="J1309"/>
  <c r="K1308"/>
  <c r="J1308"/>
  <c r="J1307"/>
  <c r="M1306"/>
  <c r="I1306"/>
  <c r="J1305"/>
  <c r="L1305" s="1"/>
  <c r="M1304"/>
  <c r="K1304"/>
  <c r="I1304"/>
  <c r="K1303"/>
  <c r="J1303"/>
  <c r="M1302"/>
  <c r="I1302"/>
  <c r="J1301"/>
  <c r="J1300" s="1"/>
  <c r="M1300"/>
  <c r="K1300"/>
  <c r="I1300"/>
  <c r="J1299"/>
  <c r="J1298" s="1"/>
  <c r="M1298"/>
  <c r="K1298"/>
  <c r="I1298"/>
  <c r="J1297"/>
  <c r="J1296" s="1"/>
  <c r="M1296"/>
  <c r="K1296"/>
  <c r="I1296"/>
  <c r="J1295"/>
  <c r="J1294" s="1"/>
  <c r="M1294"/>
  <c r="K1294"/>
  <c r="I1294"/>
  <c r="M1293"/>
  <c r="J1293"/>
  <c r="J1292" s="1"/>
  <c r="M1292"/>
  <c r="K1292"/>
  <c r="I1292"/>
  <c r="J1291"/>
  <c r="J1290" s="1"/>
  <c r="M1290"/>
  <c r="K1290"/>
  <c r="I1290"/>
  <c r="J1289"/>
  <c r="J1288" s="1"/>
  <c r="M1288"/>
  <c r="K1288"/>
  <c r="I1288"/>
  <c r="M1287"/>
  <c r="K1287"/>
  <c r="J1287"/>
  <c r="I1286"/>
  <c r="I1285" s="1"/>
  <c r="H1286"/>
  <c r="L1280"/>
  <c r="L1279"/>
  <c r="M1278"/>
  <c r="K1278"/>
  <c r="J1278"/>
  <c r="L1277"/>
  <c r="K1276"/>
  <c r="I1276"/>
  <c r="J1275"/>
  <c r="M1274"/>
  <c r="I1274"/>
  <c r="L1273"/>
  <c r="J1272"/>
  <c r="J1271"/>
  <c r="M1270"/>
  <c r="K1270"/>
  <c r="I1270"/>
  <c r="M1269"/>
  <c r="J1269"/>
  <c r="J1268"/>
  <c r="K1267"/>
  <c r="I1267"/>
  <c r="J1266"/>
  <c r="J1265"/>
  <c r="K1264"/>
  <c r="I1264"/>
  <c r="K1263"/>
  <c r="J1263"/>
  <c r="J1262"/>
  <c r="J1261"/>
  <c r="M1260"/>
  <c r="I1260"/>
  <c r="J1259"/>
  <c r="J1258" s="1"/>
  <c r="M1258"/>
  <c r="K1258"/>
  <c r="I1258"/>
  <c r="M1257"/>
  <c r="I1257"/>
  <c r="I1255" s="1"/>
  <c r="K1256"/>
  <c r="J1256"/>
  <c r="I1252"/>
  <c r="J1251"/>
  <c r="M1250"/>
  <c r="K1250"/>
  <c r="I1250"/>
  <c r="L1249"/>
  <c r="J1248"/>
  <c r="J1247" s="1"/>
  <c r="M1247"/>
  <c r="K1247"/>
  <c r="I1247"/>
  <c r="H1247"/>
  <c r="J1246"/>
  <c r="J1245"/>
  <c r="M1244"/>
  <c r="K1244"/>
  <c r="I1244"/>
  <c r="H1244"/>
  <c r="L1243"/>
  <c r="M1242"/>
  <c r="J1242"/>
  <c r="K1241"/>
  <c r="J1241"/>
  <c r="I1241"/>
  <c r="H1241"/>
  <c r="J1240"/>
  <c r="J1239" s="1"/>
  <c r="M1239"/>
  <c r="K1239"/>
  <c r="I1239"/>
  <c r="L1238"/>
  <c r="M1237"/>
  <c r="L1237"/>
  <c r="K1237"/>
  <c r="J1237"/>
  <c r="J1235"/>
  <c r="J1234" s="1"/>
  <c r="M1234"/>
  <c r="K1234"/>
  <c r="I1234"/>
  <c r="M1228"/>
  <c r="M1227" s="1"/>
  <c r="L1228"/>
  <c r="M1224"/>
  <c r="L1224"/>
  <c r="L1221"/>
  <c r="M1220"/>
  <c r="L1220"/>
  <c r="K1220"/>
  <c r="J1220"/>
  <c r="L1218"/>
  <c r="L1217"/>
  <c r="M1216"/>
  <c r="K1216"/>
  <c r="J1216"/>
  <c r="L1215"/>
  <c r="L1214"/>
  <c r="M1213"/>
  <c r="M1212" s="1"/>
  <c r="K1213"/>
  <c r="K1212" s="1"/>
  <c r="F10" i="7" l="1"/>
  <c r="E12" i="6"/>
  <c r="D21"/>
  <c r="E21"/>
  <c r="D37"/>
  <c r="E37"/>
  <c r="D36"/>
  <c r="D32" s="1"/>
  <c r="D10" s="1"/>
  <c r="D9" s="1"/>
  <c r="E36"/>
  <c r="E32" s="1"/>
  <c r="E10" s="1"/>
  <c r="E9" s="1"/>
  <c r="C32"/>
  <c r="C37"/>
  <c r="C21"/>
  <c r="C10" s="1"/>
  <c r="C9" s="1"/>
  <c r="E11" i="3"/>
  <c r="G109"/>
  <c r="G199"/>
  <c r="G108" s="1"/>
  <c r="G11"/>
  <c r="G29"/>
  <c r="G69"/>
  <c r="G36"/>
  <c r="F12" i="4"/>
  <c r="F15"/>
  <c r="F31"/>
  <c r="F65"/>
  <c r="F87"/>
  <c r="F94"/>
  <c r="F115"/>
  <c r="F151"/>
  <c r="F183"/>
  <c r="F204"/>
  <c r="F209"/>
  <c r="F220"/>
  <c r="F243"/>
  <c r="F258"/>
  <c r="F234"/>
  <c r="F237"/>
  <c r="G237"/>
  <c r="G234"/>
  <c r="F263"/>
  <c r="F266"/>
  <c r="G280"/>
  <c r="G273"/>
  <c r="G266"/>
  <c r="G263"/>
  <c r="G258"/>
  <c r="G243"/>
  <c r="E10" i="3"/>
  <c r="F25" i="4"/>
  <c r="F36"/>
  <c r="F179"/>
  <c r="F226"/>
  <c r="G226"/>
  <c r="G179"/>
  <c r="G119"/>
  <c r="G36"/>
  <c r="G25"/>
  <c r="G220"/>
  <c r="G209"/>
  <c r="G204"/>
  <c r="G183"/>
  <c r="G164"/>
  <c r="G151"/>
  <c r="G115"/>
  <c r="G94"/>
  <c r="G87"/>
  <c r="G68"/>
  <c r="G65"/>
  <c r="G31"/>
  <c r="G15"/>
  <c r="G12"/>
  <c r="G10" s="1"/>
  <c r="E10"/>
  <c r="E288" s="1"/>
  <c r="E286"/>
  <c r="D294"/>
  <c r="D292"/>
  <c r="D296" s="1"/>
  <c r="D297" s="1"/>
  <c r="D164"/>
  <c r="F86"/>
  <c r="F68" s="1"/>
  <c r="F170"/>
  <c r="F164" s="1"/>
  <c r="D10"/>
  <c r="F148"/>
  <c r="F119" s="1"/>
  <c r="L1926" i="2"/>
  <c r="K1879"/>
  <c r="L1959"/>
  <c r="K1503"/>
  <c r="K1641"/>
  <c r="J1364"/>
  <c r="L1709"/>
  <c r="L1710"/>
  <c r="L1793"/>
  <c r="L1621"/>
  <c r="L1810"/>
  <c r="K1807"/>
  <c r="K1843"/>
  <c r="I1834"/>
  <c r="L1914"/>
  <c r="M1368"/>
  <c r="K1457"/>
  <c r="L1357"/>
  <c r="L1540"/>
  <c r="M1613"/>
  <c r="K1729"/>
  <c r="L1455"/>
  <c r="K1260"/>
  <c r="J1471"/>
  <c r="L1471" s="1"/>
  <c r="L1539"/>
  <c r="L1647"/>
  <c r="L1883"/>
  <c r="L1509"/>
  <c r="J1608"/>
  <c r="L1648"/>
  <c r="L1256"/>
  <c r="L1406"/>
  <c r="L1643"/>
  <c r="L1741"/>
  <c r="L1888"/>
  <c r="L1813"/>
  <c r="L1431"/>
  <c r="K1545"/>
  <c r="J1836"/>
  <c r="L1836" s="1"/>
  <c r="L1847"/>
  <c r="L1889"/>
  <c r="J1264"/>
  <c r="L1264" s="1"/>
  <c r="L1481"/>
  <c r="L1500"/>
  <c r="L1513"/>
  <c r="J1635"/>
  <c r="L1635" s="1"/>
  <c r="L1794"/>
  <c r="M1842"/>
  <c r="K1842"/>
  <c r="L1263"/>
  <c r="J1276"/>
  <c r="L1287"/>
  <c r="L1303"/>
  <c r="L1343"/>
  <c r="L1344"/>
  <c r="L1345"/>
  <c r="L1346"/>
  <c r="L1396"/>
  <c r="L1429"/>
  <c r="L1459"/>
  <c r="L1507"/>
  <c r="L1529"/>
  <c r="L1530"/>
  <c r="L1531"/>
  <c r="L1534"/>
  <c r="L1827"/>
  <c r="L1830"/>
  <c r="L1845"/>
  <c r="J1898"/>
  <c r="J1902"/>
  <c r="L1917"/>
  <c r="L1936"/>
  <c r="L1644"/>
  <c r="L1645"/>
  <c r="J1661"/>
  <c r="L1661" s="1"/>
  <c r="L1804"/>
  <c r="L1880"/>
  <c r="J1933"/>
  <c r="M1640"/>
  <c r="M1657"/>
  <c r="J1658"/>
  <c r="J1957"/>
  <c r="M1354"/>
  <c r="I1472"/>
  <c r="M1472"/>
  <c r="J1527"/>
  <c r="K1893"/>
  <c r="J1342"/>
  <c r="I1354"/>
  <c r="J1560"/>
  <c r="J1559" s="1"/>
  <c r="I1559" s="1"/>
  <c r="J1321"/>
  <c r="J1355"/>
  <c r="J1403"/>
  <c r="J1427"/>
  <c r="J1470"/>
  <c r="M1565"/>
  <c r="J1573"/>
  <c r="L1490"/>
  <c r="J1773"/>
  <c r="J1772" s="1"/>
  <c r="I1772" s="1"/>
  <c r="J1906"/>
  <c r="J1545"/>
  <c r="J1826"/>
  <c r="J1922"/>
  <c r="J1602"/>
  <c r="I1618"/>
  <c r="K1640"/>
  <c r="K1657"/>
  <c r="J1729"/>
  <c r="I1729" s="1"/>
  <c r="J1799"/>
  <c r="J1817"/>
  <c r="J1843"/>
  <c r="I1893"/>
  <c r="M1893"/>
  <c r="J1899"/>
  <c r="J1592"/>
  <c r="J1267"/>
  <c r="J1260"/>
  <c r="J1738"/>
  <c r="L1269"/>
  <c r="J1270"/>
  <c r="L1278"/>
  <c r="L1227"/>
  <c r="J1475"/>
  <c r="J1613"/>
  <c r="J1607" s="1"/>
  <c r="J1666"/>
  <c r="J1657" s="1"/>
  <c r="I1657" s="1"/>
  <c r="J1894"/>
  <c r="J1893" s="1"/>
  <c r="H1285"/>
  <c r="J1332"/>
  <c r="L1740"/>
  <c r="J1760"/>
  <c r="I1284"/>
  <c r="J1286"/>
  <c r="L1332"/>
  <c r="K1332" s="1"/>
  <c r="J1807"/>
  <c r="J1879"/>
  <c r="L1466"/>
  <c r="J1503"/>
  <c r="L1519"/>
  <c r="J1672"/>
  <c r="J1682"/>
  <c r="J1706"/>
  <c r="J1753"/>
  <c r="J1861"/>
  <c r="L1898"/>
  <c r="L1470"/>
  <c r="K1470" s="1"/>
  <c r="L1213"/>
  <c r="L1212" s="1"/>
  <c r="L1216"/>
  <c r="I1233"/>
  <c r="L1293"/>
  <c r="L1454"/>
  <c r="K1454" s="1"/>
  <c r="J1454" s="1"/>
  <c r="J1516"/>
  <c r="L1649"/>
  <c r="L1242"/>
  <c r="J1244"/>
  <c r="J1306"/>
  <c r="J1310"/>
  <c r="J1314"/>
  <c r="K1354"/>
  <c r="J1354" s="1"/>
  <c r="J1369"/>
  <c r="J1395"/>
  <c r="J1566"/>
  <c r="K1581"/>
  <c r="J1582"/>
  <c r="J1581" s="1"/>
  <c r="L1609"/>
  <c r="L1610"/>
  <c r="L1611"/>
  <c r="H1607"/>
  <c r="L1614"/>
  <c r="J1641"/>
  <c r="L1641"/>
  <c r="J1790"/>
  <c r="J1789" s="1"/>
  <c r="L1862"/>
  <c r="H1871"/>
  <c r="L1302"/>
  <c r="K1302" s="1"/>
  <c r="L1317"/>
  <c r="L1286"/>
  <c r="K1286" s="1"/>
  <c r="L1241"/>
  <c r="L1304"/>
  <c r="L1326"/>
  <c r="L1355"/>
  <c r="L1480"/>
  <c r="L1672"/>
  <c r="K1728"/>
  <c r="L1320"/>
  <c r="L1512"/>
  <c r="M1499"/>
  <c r="M1496" s="1"/>
  <c r="L1308"/>
  <c r="L1528"/>
  <c r="J1304"/>
  <c r="J1317"/>
  <c r="J1326"/>
  <c r="J1480"/>
  <c r="L1499"/>
  <c r="K1499" s="1"/>
  <c r="J1499" s="1"/>
  <c r="L1538"/>
  <c r="K1538" s="1"/>
  <c r="J1538" s="1"/>
  <c r="I1581"/>
  <c r="M1581"/>
  <c r="J1591"/>
  <c r="I1591" s="1"/>
  <c r="J1619"/>
  <c r="J1618" s="1"/>
  <c r="L1620"/>
  <c r="J1640"/>
  <c r="I1640" s="1"/>
  <c r="J1701"/>
  <c r="I1701" s="1"/>
  <c r="J1714"/>
  <c r="L1488"/>
  <c r="L1520"/>
  <c r="L1551"/>
  <c r="L1616"/>
  <c r="J1654"/>
  <c r="I1654" s="1"/>
  <c r="L1887"/>
  <c r="K1887" s="1"/>
  <c r="L1916"/>
  <c r="K1916" s="1"/>
  <c r="L1913"/>
  <c r="K1913" s="1"/>
  <c r="J1767"/>
  <c r="I1767" s="1"/>
  <c r="L1821"/>
  <c r="L1869"/>
  <c r="L1881"/>
  <c r="J1887"/>
  <c r="J1913"/>
  <c r="J1912" s="1"/>
  <c r="J1208"/>
  <c r="J1207" s="1"/>
  <c r="M1207"/>
  <c r="K1207"/>
  <c r="I1207"/>
  <c r="K1202"/>
  <c r="J1202"/>
  <c r="K1201"/>
  <c r="J1201"/>
  <c r="M1200"/>
  <c r="I1200"/>
  <c r="J1196"/>
  <c r="J1195" s="1"/>
  <c r="M1195"/>
  <c r="K1195"/>
  <c r="I1195"/>
  <c r="G10" i="3" l="1"/>
  <c r="G9" s="1"/>
  <c r="F10" i="4"/>
  <c r="D288"/>
  <c r="L1640" i="2"/>
  <c r="K1200"/>
  <c r="L1201"/>
  <c r="L1276"/>
  <c r="J1274"/>
  <c r="M1890"/>
  <c r="L1890" s="1"/>
  <c r="J1565"/>
  <c r="L1912"/>
  <c r="K1912" s="1"/>
  <c r="M1725"/>
  <c r="L1725" s="1"/>
  <c r="K1725" s="1"/>
  <c r="J1725" s="1"/>
  <c r="L1292"/>
  <c r="L1319"/>
  <c r="K1319" s="1"/>
  <c r="L1868"/>
  <c r="L1487"/>
  <c r="M1241"/>
  <c r="M1654"/>
  <c r="J1200"/>
  <c r="M1748"/>
  <c r="L1748" s="1"/>
  <c r="K1748" s="1"/>
  <c r="J1748" s="1"/>
  <c r="K1496"/>
  <c r="J1496" s="1"/>
  <c r="M1483"/>
  <c r="L1483" s="1"/>
  <c r="I1728"/>
  <c r="J1728"/>
  <c r="M1349"/>
  <c r="L1349" s="1"/>
  <c r="K1349" s="1"/>
  <c r="J1349" s="1"/>
  <c r="M1286"/>
  <c r="J1302"/>
  <c r="J1190"/>
  <c r="M1189"/>
  <c r="K1189"/>
  <c r="I1189"/>
  <c r="J1185"/>
  <c r="J1184"/>
  <c r="J1182"/>
  <c r="M1181"/>
  <c r="I1181"/>
  <c r="L1177"/>
  <c r="M1176"/>
  <c r="L1176"/>
  <c r="K1176"/>
  <c r="J1176"/>
  <c r="J1172"/>
  <c r="J1171"/>
  <c r="M1170"/>
  <c r="K1170"/>
  <c r="I1170"/>
  <c r="J1169"/>
  <c r="J1168"/>
  <c r="J1167"/>
  <c r="J1166"/>
  <c r="M1165"/>
  <c r="K1165"/>
  <c r="I1165"/>
  <c r="I1163"/>
  <c r="J1162"/>
  <c r="J1161"/>
  <c r="J1160"/>
  <c r="M1159"/>
  <c r="K1159"/>
  <c r="I1159"/>
  <c r="J1158"/>
  <c r="J1157"/>
  <c r="M1156"/>
  <c r="K1156"/>
  <c r="I1156"/>
  <c r="M1154"/>
  <c r="K1154"/>
  <c r="M1153"/>
  <c r="K1153"/>
  <c r="J1153"/>
  <c r="J1151"/>
  <c r="J1150"/>
  <c r="K1149"/>
  <c r="J1149"/>
  <c r="J1148"/>
  <c r="J1147"/>
  <c r="J1146"/>
  <c r="M1145"/>
  <c r="K1145"/>
  <c r="I1145"/>
  <c r="J1140"/>
  <c r="J1139"/>
  <c r="K1138"/>
  <c r="J1138"/>
  <c r="K1137"/>
  <c r="K1134" s="1"/>
  <c r="K1133" s="1"/>
  <c r="J1137"/>
  <c r="J1136"/>
  <c r="J1135"/>
  <c r="M1134"/>
  <c r="I1134"/>
  <c r="J1130"/>
  <c r="J1129" s="1"/>
  <c r="M1129"/>
  <c r="K1129"/>
  <c r="I1129"/>
  <c r="I1124"/>
  <c r="I1123" s="1"/>
  <c r="M1123"/>
  <c r="K1123"/>
  <c r="H1123"/>
  <c r="L1120"/>
  <c r="L1119" s="1"/>
  <c r="M1119"/>
  <c r="K1119"/>
  <c r="J1119"/>
  <c r="J1116"/>
  <c r="J1115" s="1"/>
  <c r="M1115"/>
  <c r="K1115"/>
  <c r="I1115"/>
  <c r="H1115"/>
  <c r="K1114"/>
  <c r="J1114"/>
  <c r="M1113"/>
  <c r="J1113"/>
  <c r="I1113"/>
  <c r="J1112"/>
  <c r="J1111" s="1"/>
  <c r="M1111"/>
  <c r="K1111"/>
  <c r="I1111"/>
  <c r="H1111"/>
  <c r="J1109"/>
  <c r="J1108" s="1"/>
  <c r="M1108"/>
  <c r="K1108"/>
  <c r="I1108"/>
  <c r="J1107"/>
  <c r="J1106" s="1"/>
  <c r="M1106"/>
  <c r="K1106"/>
  <c r="I1106"/>
  <c r="K1105"/>
  <c r="K1104" s="1"/>
  <c r="J1105"/>
  <c r="M1104"/>
  <c r="I1104"/>
  <c r="K1102"/>
  <c r="M1101"/>
  <c r="K1101"/>
  <c r="J1101"/>
  <c r="L1099"/>
  <c r="L1098" s="1"/>
  <c r="M1098"/>
  <c r="K1098"/>
  <c r="J1098"/>
  <c r="J1096"/>
  <c r="J1095" s="1"/>
  <c r="M1095"/>
  <c r="M1094" s="1"/>
  <c r="K1095"/>
  <c r="I1095"/>
  <c r="H1095"/>
  <c r="I1093"/>
  <c r="J1093" s="1"/>
  <c r="J1092" s="1"/>
  <c r="M1092"/>
  <c r="K1092"/>
  <c r="I1092"/>
  <c r="K1090"/>
  <c r="M1089"/>
  <c r="K1089"/>
  <c r="J1089"/>
  <c r="L1088"/>
  <c r="L1087" s="1"/>
  <c r="M1087"/>
  <c r="K1087"/>
  <c r="J1087"/>
  <c r="J1084"/>
  <c r="J1083" s="1"/>
  <c r="M1083"/>
  <c r="K1083"/>
  <c r="K1082" s="1"/>
  <c r="I1083"/>
  <c r="L1079"/>
  <c r="J1078"/>
  <c r="M1078"/>
  <c r="K1078"/>
  <c r="K1077" s="1"/>
  <c r="I1078"/>
  <c r="L1076"/>
  <c r="M1075"/>
  <c r="I1075"/>
  <c r="K1074"/>
  <c r="J1074"/>
  <c r="L1074" s="1"/>
  <c r="M1073"/>
  <c r="M1072" s="1"/>
  <c r="I1073"/>
  <c r="J1071"/>
  <c r="J1070"/>
  <c r="M1069"/>
  <c r="K1069"/>
  <c r="I1069"/>
  <c r="H1069"/>
  <c r="M1068"/>
  <c r="J1068"/>
  <c r="J1067" s="1"/>
  <c r="M1067"/>
  <c r="K1067"/>
  <c r="I1067"/>
  <c r="H1067"/>
  <c r="M1066"/>
  <c r="K1066"/>
  <c r="I1066"/>
  <c r="K1065"/>
  <c r="I1065"/>
  <c r="J1064"/>
  <c r="J1063" s="1"/>
  <c r="M1063"/>
  <c r="K1063"/>
  <c r="I1063"/>
  <c r="J1061"/>
  <c r="J1060" s="1"/>
  <c r="M1060"/>
  <c r="K1060"/>
  <c r="K1059" s="1"/>
  <c r="I1060"/>
  <c r="L1058"/>
  <c r="M1057"/>
  <c r="L1057"/>
  <c r="K1057"/>
  <c r="J1057"/>
  <c r="L1055"/>
  <c r="L1054"/>
  <c r="M1053"/>
  <c r="K1053"/>
  <c r="J1053"/>
  <c r="J1051"/>
  <c r="J1050" s="1"/>
  <c r="M1050"/>
  <c r="K1050"/>
  <c r="I1050"/>
  <c r="H1050"/>
  <c r="I1049"/>
  <c r="M1048"/>
  <c r="K1048"/>
  <c r="I1048"/>
  <c r="H1048"/>
  <c r="L1046"/>
  <c r="M1045"/>
  <c r="L1045"/>
  <c r="K1045"/>
  <c r="L1044"/>
  <c r="M1043"/>
  <c r="L1043"/>
  <c r="K1043"/>
  <c r="J1039"/>
  <c r="J1038" s="1"/>
  <c r="M1038"/>
  <c r="K1038"/>
  <c r="I1038"/>
  <c r="K1034"/>
  <c r="J1034"/>
  <c r="K1033"/>
  <c r="J1033"/>
  <c r="J1032" s="1"/>
  <c r="M1032"/>
  <c r="I1032"/>
  <c r="L1029"/>
  <c r="M1028"/>
  <c r="L1028"/>
  <c r="K1028"/>
  <c r="J1028"/>
  <c r="J1023"/>
  <c r="J1022"/>
  <c r="M1021"/>
  <c r="K1021"/>
  <c r="I1021"/>
  <c r="K1020"/>
  <c r="J1017"/>
  <c r="J1016" s="1"/>
  <c r="M1016"/>
  <c r="K1016"/>
  <c r="I1016"/>
  <c r="H1016"/>
  <c r="J1012"/>
  <c r="J1011" s="1"/>
  <c r="M1011"/>
  <c r="K1011"/>
  <c r="K1010" s="1"/>
  <c r="I1011"/>
  <c r="K1006"/>
  <c r="J1006"/>
  <c r="M1005"/>
  <c r="I1005"/>
  <c r="L1001"/>
  <c r="M1000"/>
  <c r="L1000"/>
  <c r="K1000"/>
  <c r="J1000"/>
  <c r="L999"/>
  <c r="M998"/>
  <c r="L998"/>
  <c r="K998"/>
  <c r="J998"/>
  <c r="M995"/>
  <c r="J995"/>
  <c r="J994" s="1"/>
  <c r="M994"/>
  <c r="K994"/>
  <c r="K993" s="1"/>
  <c r="I994"/>
  <c r="M992"/>
  <c r="K992"/>
  <c r="M991"/>
  <c r="K991"/>
  <c r="J991"/>
  <c r="K983"/>
  <c r="M982"/>
  <c r="K982"/>
  <c r="J982"/>
  <c r="I981"/>
  <c r="H981"/>
  <c r="M979"/>
  <c r="L979"/>
  <c r="I975"/>
  <c r="I974" s="1"/>
  <c r="M974"/>
  <c r="K974"/>
  <c r="K973" s="1"/>
  <c r="J970"/>
  <c r="J969"/>
  <c r="M968"/>
  <c r="K968"/>
  <c r="I968"/>
  <c r="K965"/>
  <c r="M964"/>
  <c r="K964"/>
  <c r="J964"/>
  <c r="L962"/>
  <c r="M961"/>
  <c r="L961"/>
  <c r="K961"/>
  <c r="J961"/>
  <c r="K957"/>
  <c r="L957" s="1"/>
  <c r="L956"/>
  <c r="M955"/>
  <c r="J955"/>
  <c r="J954"/>
  <c r="M953"/>
  <c r="M952" s="1"/>
  <c r="K953"/>
  <c r="I953"/>
  <c r="I952" s="1"/>
  <c r="J951"/>
  <c r="J950" s="1"/>
  <c r="M950"/>
  <c r="K950"/>
  <c r="I950"/>
  <c r="J948"/>
  <c r="J947" s="1"/>
  <c r="M947"/>
  <c r="K947"/>
  <c r="I947"/>
  <c r="H947"/>
  <c r="J946"/>
  <c r="J945" s="1"/>
  <c r="M945"/>
  <c r="K945"/>
  <c r="I945"/>
  <c r="H945"/>
  <c r="L943"/>
  <c r="M942"/>
  <c r="L942"/>
  <c r="K942"/>
  <c r="J942"/>
  <c r="M939"/>
  <c r="K939"/>
  <c r="M938"/>
  <c r="K938"/>
  <c r="J938"/>
  <c r="J933"/>
  <c r="J932" s="1"/>
  <c r="M932"/>
  <c r="K932"/>
  <c r="I932"/>
  <c r="L931"/>
  <c r="L930" s="1"/>
  <c r="M930"/>
  <c r="K930"/>
  <c r="J930"/>
  <c r="K927"/>
  <c r="M926"/>
  <c r="M925" s="1"/>
  <c r="K926"/>
  <c r="J926"/>
  <c r="J924"/>
  <c r="J923"/>
  <c r="I922"/>
  <c r="J922" s="1"/>
  <c r="M921"/>
  <c r="K921"/>
  <c r="K917" s="1"/>
  <c r="J921"/>
  <c r="J920"/>
  <c r="M919"/>
  <c r="J919"/>
  <c r="J918"/>
  <c r="M917"/>
  <c r="I917"/>
  <c r="J914"/>
  <c r="J913" s="1"/>
  <c r="M913"/>
  <c r="K913"/>
  <c r="I913"/>
  <c r="J910"/>
  <c r="J909"/>
  <c r="M908"/>
  <c r="K908"/>
  <c r="I908"/>
  <c r="I906"/>
  <c r="J906" s="1"/>
  <c r="J905"/>
  <c r="M904"/>
  <c r="K904"/>
  <c r="I904"/>
  <c r="J903"/>
  <c r="J902" s="1"/>
  <c r="M902"/>
  <c r="K902"/>
  <c r="I902"/>
  <c r="I901" s="1"/>
  <c r="M901"/>
  <c r="K901"/>
  <c r="I897"/>
  <c r="M896"/>
  <c r="K896"/>
  <c r="I896"/>
  <c r="H896"/>
  <c r="J895"/>
  <c r="J894" s="1"/>
  <c r="M894"/>
  <c r="K894"/>
  <c r="I894"/>
  <c r="J893"/>
  <c r="J892" s="1"/>
  <c r="M892"/>
  <c r="K892"/>
  <c r="I892"/>
  <c r="L982" l="1"/>
  <c r="K955"/>
  <c r="J953"/>
  <c r="L953" s="1"/>
  <c r="L955"/>
  <c r="L992"/>
  <c r="L939"/>
  <c r="J1066"/>
  <c r="L1066" s="1"/>
  <c r="L1065" s="1"/>
  <c r="M1091"/>
  <c r="I1164"/>
  <c r="M1164"/>
  <c r="J904"/>
  <c r="L1006"/>
  <c r="L1105"/>
  <c r="L1154"/>
  <c r="M1152" s="1"/>
  <c r="J1021"/>
  <c r="J1020" s="1"/>
  <c r="I1020" s="1"/>
  <c r="H1047"/>
  <c r="K1047"/>
  <c r="L1053"/>
  <c r="K1164"/>
  <c r="M1155"/>
  <c r="M1285"/>
  <c r="M1284" s="1"/>
  <c r="J997"/>
  <c r="L997"/>
  <c r="K997" s="1"/>
  <c r="J1170"/>
  <c r="K1042"/>
  <c r="M1047"/>
  <c r="M1042" s="1"/>
  <c r="J917"/>
  <c r="K929"/>
  <c r="I1047"/>
  <c r="J1134"/>
  <c r="J1133" s="1"/>
  <c r="I1133" s="1"/>
  <c r="K1155"/>
  <c r="L1068"/>
  <c r="L991"/>
  <c r="J1165"/>
  <c r="J968"/>
  <c r="K990"/>
  <c r="J1156"/>
  <c r="I1155"/>
  <c r="J1189"/>
  <c r="L919"/>
  <c r="J929"/>
  <c r="I929" s="1"/>
  <c r="J981"/>
  <c r="J1145"/>
  <c r="L1153"/>
  <c r="M1065"/>
  <c r="L995"/>
  <c r="J1069"/>
  <c r="J1082"/>
  <c r="I1082" s="1"/>
  <c r="J1181"/>
  <c r="J908"/>
  <c r="M929"/>
  <c r="L938"/>
  <c r="M937"/>
  <c r="M997"/>
  <c r="L1005"/>
  <c r="K1005" s="1"/>
  <c r="J1005" s="1"/>
  <c r="L1073"/>
  <c r="L1075"/>
  <c r="K1075" s="1"/>
  <c r="J1075" s="1"/>
  <c r="J901"/>
  <c r="M993"/>
  <c r="L1104"/>
  <c r="L921"/>
  <c r="J952"/>
  <c r="L1285"/>
  <c r="K1285" s="1"/>
  <c r="J1285" s="1"/>
  <c r="J1284" s="1"/>
  <c r="M1219"/>
  <c r="L1219" s="1"/>
  <c r="K1219" s="1"/>
  <c r="J1219" s="1"/>
  <c r="M1236"/>
  <c r="L1236" s="1"/>
  <c r="K1236" s="1"/>
  <c r="L1654"/>
  <c r="M1639"/>
  <c r="M1233"/>
  <c r="M1463"/>
  <c r="L1463" s="1"/>
  <c r="K1463" s="1"/>
  <c r="J1463" s="1"/>
  <c r="M1469"/>
  <c r="L1469" s="1"/>
  <c r="K1469" s="1"/>
  <c r="J1469" s="1"/>
  <c r="I1469" s="1"/>
  <c r="J993"/>
  <c r="I993" s="1"/>
  <c r="J1010"/>
  <c r="I1010" s="1"/>
  <c r="J1059"/>
  <c r="I1059" s="1"/>
  <c r="J1077"/>
  <c r="I1077" s="1"/>
  <c r="J1104"/>
  <c r="M1122"/>
  <c r="M886"/>
  <c r="K886"/>
  <c r="I886"/>
  <c r="K885"/>
  <c r="I885"/>
  <c r="J882"/>
  <c r="J881" s="1"/>
  <c r="M881"/>
  <c r="K881"/>
  <c r="I881"/>
  <c r="J880"/>
  <c r="J879" s="1"/>
  <c r="M879"/>
  <c r="K879"/>
  <c r="I879"/>
  <c r="J874"/>
  <c r="J873" s="1"/>
  <c r="M873"/>
  <c r="K873"/>
  <c r="I873"/>
  <c r="J870"/>
  <c r="J869" s="1"/>
  <c r="M869"/>
  <c r="K869"/>
  <c r="I869"/>
  <c r="J868"/>
  <c r="J867" s="1"/>
  <c r="M867"/>
  <c r="K867"/>
  <c r="I867"/>
  <c r="K866"/>
  <c r="I864"/>
  <c r="I863" s="1"/>
  <c r="M863"/>
  <c r="K863"/>
  <c r="J858"/>
  <c r="J857" s="1"/>
  <c r="M857"/>
  <c r="K857"/>
  <c r="I857"/>
  <c r="I851"/>
  <c r="L853"/>
  <c r="M852"/>
  <c r="M851" s="1"/>
  <c r="L852"/>
  <c r="K852"/>
  <c r="J849"/>
  <c r="J848"/>
  <c r="M847"/>
  <c r="K847"/>
  <c r="I847"/>
  <c r="K846"/>
  <c r="M844"/>
  <c r="K844"/>
  <c r="K843" s="1"/>
  <c r="J840"/>
  <c r="J839"/>
  <c r="M838"/>
  <c r="K838"/>
  <c r="I838"/>
  <c r="K837"/>
  <c r="L831"/>
  <c r="M830"/>
  <c r="L830"/>
  <c r="K830"/>
  <c r="M829"/>
  <c r="K829"/>
  <c r="I829"/>
  <c r="K828"/>
  <c r="I828"/>
  <c r="J826"/>
  <c r="J825" s="1"/>
  <c r="M825"/>
  <c r="K825"/>
  <c r="K824" s="1"/>
  <c r="I825"/>
  <c r="J822"/>
  <c r="J821" s="1"/>
  <c r="M821"/>
  <c r="K821"/>
  <c r="I821"/>
  <c r="K820"/>
  <c r="I820"/>
  <c r="M819"/>
  <c r="I819"/>
  <c r="K818"/>
  <c r="I818"/>
  <c r="M817"/>
  <c r="I817"/>
  <c r="J811"/>
  <c r="J810"/>
  <c r="K809"/>
  <c r="J809"/>
  <c r="J808"/>
  <c r="J807"/>
  <c r="J806"/>
  <c r="M805"/>
  <c r="K805"/>
  <c r="I805"/>
  <c r="J800"/>
  <c r="J799"/>
  <c r="J798" s="1"/>
  <c r="M798"/>
  <c r="K798"/>
  <c r="I798"/>
  <c r="K796"/>
  <c r="M795"/>
  <c r="M794" s="1"/>
  <c r="K795"/>
  <c r="K794" s="1"/>
  <c r="J795"/>
  <c r="J794" s="1"/>
  <c r="I794"/>
  <c r="H794"/>
  <c r="J791"/>
  <c r="J790" s="1"/>
  <c r="M790"/>
  <c r="K790"/>
  <c r="I790"/>
  <c r="L787"/>
  <c r="M786"/>
  <c r="L786"/>
  <c r="K786"/>
  <c r="J786"/>
  <c r="L783"/>
  <c r="M782"/>
  <c r="L782"/>
  <c r="K782"/>
  <c r="J782"/>
  <c r="L779"/>
  <c r="M778"/>
  <c r="L778"/>
  <c r="K778"/>
  <c r="J778"/>
  <c r="I774"/>
  <c r="I773" s="1"/>
  <c r="M773"/>
  <c r="K773"/>
  <c r="L770"/>
  <c r="M769"/>
  <c r="L769"/>
  <c r="K769"/>
  <c r="J769"/>
  <c r="J764"/>
  <c r="J763" s="1"/>
  <c r="M763"/>
  <c r="K763"/>
  <c r="I763"/>
  <c r="J762"/>
  <c r="L762" s="1"/>
  <c r="M761"/>
  <c r="K761"/>
  <c r="I761"/>
  <c r="M759"/>
  <c r="I759"/>
  <c r="K758"/>
  <c r="I758"/>
  <c r="J757"/>
  <c r="J756" s="1"/>
  <c r="M756"/>
  <c r="K756"/>
  <c r="I756"/>
  <c r="J755"/>
  <c r="L755" s="1"/>
  <c r="M754"/>
  <c r="K754"/>
  <c r="I754"/>
  <c r="K753"/>
  <c r="J753"/>
  <c r="M752"/>
  <c r="J752"/>
  <c r="I752"/>
  <c r="J751"/>
  <c r="J750"/>
  <c r="M749"/>
  <c r="K749"/>
  <c r="I749"/>
  <c r="K748"/>
  <c r="J748"/>
  <c r="M747"/>
  <c r="J747"/>
  <c r="I747"/>
  <c r="H747"/>
  <c r="K746"/>
  <c r="J746"/>
  <c r="J745"/>
  <c r="M744"/>
  <c r="K744"/>
  <c r="I744"/>
  <c r="J743"/>
  <c r="L743" s="1"/>
  <c r="M742"/>
  <c r="K742"/>
  <c r="I742"/>
  <c r="H742"/>
  <c r="J741"/>
  <c r="L741" s="1"/>
  <c r="M740"/>
  <c r="K740"/>
  <c r="I740"/>
  <c r="J739"/>
  <c r="J738" s="1"/>
  <c r="M738"/>
  <c r="K738"/>
  <c r="I738"/>
  <c r="J737"/>
  <c r="L737" s="1"/>
  <c r="M736"/>
  <c r="K736"/>
  <c r="I736"/>
  <c r="J735"/>
  <c r="J734" s="1"/>
  <c r="M734"/>
  <c r="K734"/>
  <c r="I734"/>
  <c r="M733"/>
  <c r="K733"/>
  <c r="J733"/>
  <c r="I732"/>
  <c r="K731"/>
  <c r="J731"/>
  <c r="L731" s="1"/>
  <c r="M730"/>
  <c r="I730"/>
  <c r="H730"/>
  <c r="J729"/>
  <c r="L729" s="1"/>
  <c r="M728"/>
  <c r="K728"/>
  <c r="I728"/>
  <c r="H728"/>
  <c r="J727"/>
  <c r="L727" s="1"/>
  <c r="M726"/>
  <c r="K726"/>
  <c r="I726"/>
  <c r="J725"/>
  <c r="J724" s="1"/>
  <c r="M724"/>
  <c r="K724"/>
  <c r="I724"/>
  <c r="J723"/>
  <c r="J722" s="1"/>
  <c r="M722"/>
  <c r="K722"/>
  <c r="I722"/>
  <c r="J721"/>
  <c r="L721" s="1"/>
  <c r="M720"/>
  <c r="K720"/>
  <c r="I720"/>
  <c r="M719"/>
  <c r="J719"/>
  <c r="L719" s="1"/>
  <c r="M718"/>
  <c r="K718"/>
  <c r="I718"/>
  <c r="L717"/>
  <c r="M716"/>
  <c r="L716"/>
  <c r="K716"/>
  <c r="J716"/>
  <c r="J715"/>
  <c r="J714" s="1"/>
  <c r="M714"/>
  <c r="K714"/>
  <c r="I714"/>
  <c r="H714"/>
  <c r="J712"/>
  <c r="J711" s="1"/>
  <c r="M711"/>
  <c r="K711"/>
  <c r="I711"/>
  <c r="K710"/>
  <c r="J710"/>
  <c r="M709"/>
  <c r="I709"/>
  <c r="M708"/>
  <c r="K708"/>
  <c r="J708"/>
  <c r="I707"/>
  <c r="J706"/>
  <c r="J705" s="1"/>
  <c r="M705"/>
  <c r="K705"/>
  <c r="I705"/>
  <c r="J704"/>
  <c r="J703" s="1"/>
  <c r="M703"/>
  <c r="K703"/>
  <c r="I703"/>
  <c r="M702"/>
  <c r="K702"/>
  <c r="J702"/>
  <c r="I701"/>
  <c r="H701"/>
  <c r="J699"/>
  <c r="J698" s="1"/>
  <c r="M698"/>
  <c r="K698"/>
  <c r="I698"/>
  <c r="H698"/>
  <c r="K697"/>
  <c r="J697"/>
  <c r="M696"/>
  <c r="I696"/>
  <c r="H696"/>
  <c r="J695"/>
  <c r="J694" s="1"/>
  <c r="M694"/>
  <c r="K694"/>
  <c r="I694"/>
  <c r="H694"/>
  <c r="J693"/>
  <c r="J692" s="1"/>
  <c r="M692"/>
  <c r="K692"/>
  <c r="I692"/>
  <c r="J691"/>
  <c r="J690" s="1"/>
  <c r="M690"/>
  <c r="K690"/>
  <c r="I690"/>
  <c r="J689"/>
  <c r="J688" s="1"/>
  <c r="M688"/>
  <c r="K688"/>
  <c r="I688"/>
  <c r="J687"/>
  <c r="J686" s="1"/>
  <c r="M686"/>
  <c r="K686"/>
  <c r="I686"/>
  <c r="K683"/>
  <c r="M682"/>
  <c r="K682"/>
  <c r="J682"/>
  <c r="L681"/>
  <c r="M680"/>
  <c r="L680"/>
  <c r="K680"/>
  <c r="J680"/>
  <c r="K679"/>
  <c r="M678"/>
  <c r="K678"/>
  <c r="J677"/>
  <c r="J676" s="1"/>
  <c r="M676"/>
  <c r="K676"/>
  <c r="I676"/>
  <c r="H676"/>
  <c r="L675"/>
  <c r="M674"/>
  <c r="L674"/>
  <c r="K674"/>
  <c r="L673"/>
  <c r="M672"/>
  <c r="L672"/>
  <c r="K672"/>
  <c r="L671"/>
  <c r="M670"/>
  <c r="L670"/>
  <c r="K670"/>
  <c r="J670"/>
  <c r="J669"/>
  <c r="J668" s="1"/>
  <c r="M668"/>
  <c r="K668"/>
  <c r="I668"/>
  <c r="H668"/>
  <c r="J667"/>
  <c r="J666" s="1"/>
  <c r="M666"/>
  <c r="K666"/>
  <c r="I666"/>
  <c r="H666"/>
  <c r="J665"/>
  <c r="J664" s="1"/>
  <c r="M664"/>
  <c r="K664"/>
  <c r="I664"/>
  <c r="H664"/>
  <c r="M662"/>
  <c r="L662"/>
  <c r="J661"/>
  <c r="J660" s="1"/>
  <c r="M660"/>
  <c r="K660"/>
  <c r="I660"/>
  <c r="H660"/>
  <c r="J659"/>
  <c r="J658" s="1"/>
  <c r="M658"/>
  <c r="K658"/>
  <c r="I658"/>
  <c r="H658"/>
  <c r="J657"/>
  <c r="J656" s="1"/>
  <c r="M656"/>
  <c r="K656"/>
  <c r="I656"/>
  <c r="H656"/>
  <c r="J655"/>
  <c r="J654" s="1"/>
  <c r="M654"/>
  <c r="K654"/>
  <c r="I654"/>
  <c r="H654"/>
  <c r="J653"/>
  <c r="J652" s="1"/>
  <c r="M652"/>
  <c r="K652"/>
  <c r="I652"/>
  <c r="H652"/>
  <c r="J651"/>
  <c r="J650" s="1"/>
  <c r="M650"/>
  <c r="K650"/>
  <c r="I650"/>
  <c r="H650"/>
  <c r="J649"/>
  <c r="J648" s="1"/>
  <c r="M648"/>
  <c r="K648"/>
  <c r="I648"/>
  <c r="H648"/>
  <c r="J647"/>
  <c r="J646" s="1"/>
  <c r="M646"/>
  <c r="K646"/>
  <c r="I646"/>
  <c r="H646"/>
  <c r="J645"/>
  <c r="J644" s="1"/>
  <c r="M644"/>
  <c r="K644"/>
  <c r="I644"/>
  <c r="H644"/>
  <c r="M642"/>
  <c r="L642"/>
  <c r="J640"/>
  <c r="J639"/>
  <c r="K638"/>
  <c r="J638"/>
  <c r="J637"/>
  <c r="M636"/>
  <c r="J636"/>
  <c r="J635"/>
  <c r="I634"/>
  <c r="J629"/>
  <c r="J628" s="1"/>
  <c r="M628"/>
  <c r="K628"/>
  <c r="K627" s="1"/>
  <c r="I628"/>
  <c r="J626"/>
  <c r="J625"/>
  <c r="J624"/>
  <c r="J623"/>
  <c r="J622"/>
  <c r="J621"/>
  <c r="M620"/>
  <c r="K620"/>
  <c r="I620"/>
  <c r="K615"/>
  <c r="J615"/>
  <c r="M614"/>
  <c r="I614"/>
  <c r="J613"/>
  <c r="J612" s="1"/>
  <c r="M612"/>
  <c r="K612"/>
  <c r="I612"/>
  <c r="J611"/>
  <c r="J610" s="1"/>
  <c r="M610"/>
  <c r="K610"/>
  <c r="I610"/>
  <c r="K609"/>
  <c r="I609"/>
  <c r="M608"/>
  <c r="I608"/>
  <c r="L607"/>
  <c r="L606" s="1"/>
  <c r="M606"/>
  <c r="K606"/>
  <c r="J606"/>
  <c r="I604"/>
  <c r="I603" s="1"/>
  <c r="M603"/>
  <c r="K603"/>
  <c r="J600"/>
  <c r="J599" s="1"/>
  <c r="M599"/>
  <c r="K599"/>
  <c r="I599"/>
  <c r="H599"/>
  <c r="K595"/>
  <c r="J595"/>
  <c r="M594"/>
  <c r="I594"/>
  <c r="K591"/>
  <c r="M590"/>
  <c r="K590"/>
  <c r="J590"/>
  <c r="J589"/>
  <c r="J588" s="1"/>
  <c r="M588"/>
  <c r="K588"/>
  <c r="I588"/>
  <c r="K587"/>
  <c r="J587"/>
  <c r="M586"/>
  <c r="I586"/>
  <c r="I585" s="1"/>
  <c r="J584"/>
  <c r="J583" s="1"/>
  <c r="M583"/>
  <c r="K583"/>
  <c r="I583"/>
  <c r="J581"/>
  <c r="J580" s="1"/>
  <c r="M580"/>
  <c r="K580"/>
  <c r="I580"/>
  <c r="H580"/>
  <c r="K579"/>
  <c r="J579"/>
  <c r="M578"/>
  <c r="I578"/>
  <c r="H578"/>
  <c r="M576"/>
  <c r="K576"/>
  <c r="J576"/>
  <c r="I575"/>
  <c r="K572"/>
  <c r="I572"/>
  <c r="M571"/>
  <c r="I571"/>
  <c r="L569"/>
  <c r="M568"/>
  <c r="K568"/>
  <c r="J568"/>
  <c r="K567"/>
  <c r="L567" s="1"/>
  <c r="L566" s="1"/>
  <c r="M566"/>
  <c r="K566"/>
  <c r="J566"/>
  <c r="J561"/>
  <c r="J560"/>
  <c r="M559"/>
  <c r="K559"/>
  <c r="K558" s="1"/>
  <c r="I559"/>
  <c r="K557"/>
  <c r="J557"/>
  <c r="J556" s="1"/>
  <c r="M556"/>
  <c r="I556"/>
  <c r="J552"/>
  <c r="J551"/>
  <c r="M550"/>
  <c r="K550"/>
  <c r="K546" s="1"/>
  <c r="I550"/>
  <c r="J550" s="1"/>
  <c r="M549"/>
  <c r="J549"/>
  <c r="J548"/>
  <c r="J547"/>
  <c r="M546"/>
  <c r="I546"/>
  <c r="J545"/>
  <c r="K544"/>
  <c r="J544"/>
  <c r="M543"/>
  <c r="I543"/>
  <c r="J542"/>
  <c r="K541"/>
  <c r="J541"/>
  <c r="J540" s="1"/>
  <c r="M540"/>
  <c r="I540"/>
  <c r="J537"/>
  <c r="J536" s="1"/>
  <c r="J535" s="1"/>
  <c r="M537"/>
  <c r="M536" s="1"/>
  <c r="K537"/>
  <c r="K536" s="1"/>
  <c r="K535" s="1"/>
  <c r="I537"/>
  <c r="I536" s="1"/>
  <c r="I535" s="1"/>
  <c r="J534"/>
  <c r="J533" s="1"/>
  <c r="M533"/>
  <c r="K533"/>
  <c r="I533"/>
  <c r="L532"/>
  <c r="J531"/>
  <c r="J530" s="1"/>
  <c r="M530"/>
  <c r="K530"/>
  <c r="I530"/>
  <c r="L527"/>
  <c r="M527"/>
  <c r="K527"/>
  <c r="J527"/>
  <c r="J525"/>
  <c r="J524"/>
  <c r="J523"/>
  <c r="J522"/>
  <c r="J521"/>
  <c r="K520"/>
  <c r="I520"/>
  <c r="M519"/>
  <c r="I519"/>
  <c r="J517"/>
  <c r="J516"/>
  <c r="J515"/>
  <c r="J514"/>
  <c r="J513"/>
  <c r="J512"/>
  <c r="M511"/>
  <c r="K511"/>
  <c r="I511"/>
  <c r="K878" l="1"/>
  <c r="L615"/>
  <c r="L937"/>
  <c r="K937" s="1"/>
  <c r="J937" s="1"/>
  <c r="L710"/>
  <c r="M878"/>
  <c r="J829"/>
  <c r="L829" s="1"/>
  <c r="L828" s="1"/>
  <c r="L595"/>
  <c r="J818"/>
  <c r="L818" s="1"/>
  <c r="M866"/>
  <c r="J820"/>
  <c r="L820" s="1"/>
  <c r="L844"/>
  <c r="J572"/>
  <c r="L572" s="1"/>
  <c r="L576"/>
  <c r="L575" s="1"/>
  <c r="K575" s="1"/>
  <c r="J575" s="1"/>
  <c r="L587"/>
  <c r="L586" s="1"/>
  <c r="K586" s="1"/>
  <c r="J586" s="1"/>
  <c r="J520"/>
  <c r="L520" s="1"/>
  <c r="J886"/>
  <c r="L886" s="1"/>
  <c r="J1065"/>
  <c r="L568"/>
  <c r="L544"/>
  <c r="L579"/>
  <c r="L578" s="1"/>
  <c r="K578" s="1"/>
  <c r="J578" s="1"/>
  <c r="J609"/>
  <c r="L609" s="1"/>
  <c r="L638"/>
  <c r="L697"/>
  <c r="L696" s="1"/>
  <c r="K696" s="1"/>
  <c r="J696" s="1"/>
  <c r="L702"/>
  <c r="L708"/>
  <c r="L733"/>
  <c r="L746"/>
  <c r="L748"/>
  <c r="L747" s="1"/>
  <c r="K747" s="1"/>
  <c r="L753"/>
  <c r="L1067"/>
  <c r="J1164"/>
  <c r="K827"/>
  <c r="J559"/>
  <c r="J558" s="1"/>
  <c r="I558" s="1"/>
  <c r="J754"/>
  <c r="K851"/>
  <c r="M941"/>
  <c r="L941" s="1"/>
  <c r="K941" s="1"/>
  <c r="J941" s="1"/>
  <c r="J726"/>
  <c r="J749"/>
  <c r="H641"/>
  <c r="L1152"/>
  <c r="K1152" s="1"/>
  <c r="J1152" s="1"/>
  <c r="J511"/>
  <c r="I539"/>
  <c r="J571"/>
  <c r="I641"/>
  <c r="J546"/>
  <c r="M585"/>
  <c r="I878"/>
  <c r="J838"/>
  <c r="J837" s="1"/>
  <c r="I837" s="1"/>
  <c r="M539"/>
  <c r="J720"/>
  <c r="J740"/>
  <c r="J744"/>
  <c r="L571"/>
  <c r="K571" s="1"/>
  <c r="L549"/>
  <c r="J634"/>
  <c r="J817"/>
  <c r="J847"/>
  <c r="J846" s="1"/>
  <c r="I846" s="1"/>
  <c r="I529"/>
  <c r="J608"/>
  <c r="M605"/>
  <c r="J620"/>
  <c r="L726"/>
  <c r="L740"/>
  <c r="L817"/>
  <c r="K817" s="1"/>
  <c r="J641"/>
  <c r="K529"/>
  <c r="J627"/>
  <c r="I627" s="1"/>
  <c r="M641"/>
  <c r="J701"/>
  <c r="L720"/>
  <c r="L754"/>
  <c r="J805"/>
  <c r="J819"/>
  <c r="J828"/>
  <c r="J885"/>
  <c r="L994"/>
  <c r="L993" s="1"/>
  <c r="M816"/>
  <c r="J827"/>
  <c r="I827" s="1"/>
  <c r="J866"/>
  <c r="I866" s="1"/>
  <c r="J878"/>
  <c r="L594"/>
  <c r="K594" s="1"/>
  <c r="J594" s="1"/>
  <c r="L608"/>
  <c r="L614"/>
  <c r="K614" s="1"/>
  <c r="J614" s="1"/>
  <c r="L707"/>
  <c r="K707" s="1"/>
  <c r="L732"/>
  <c r="K732" s="1"/>
  <c r="J732" s="1"/>
  <c r="J529"/>
  <c r="M535"/>
  <c r="M529" s="1"/>
  <c r="L701"/>
  <c r="K701" s="1"/>
  <c r="L718"/>
  <c r="L728"/>
  <c r="L730"/>
  <c r="K730" s="1"/>
  <c r="J730" s="1"/>
  <c r="L736"/>
  <c r="L742"/>
  <c r="L761"/>
  <c r="M843"/>
  <c r="M842" s="1"/>
  <c r="M1487"/>
  <c r="H1469"/>
  <c r="I1462"/>
  <c r="M1698"/>
  <c r="L1698" s="1"/>
  <c r="K1698" s="1"/>
  <c r="M1479"/>
  <c r="L1479" s="1"/>
  <c r="K1479" s="1"/>
  <c r="J1479" s="1"/>
  <c r="I1479" s="1"/>
  <c r="H1479" s="1"/>
  <c r="M1332"/>
  <c r="J1236"/>
  <c r="K1233"/>
  <c r="M990"/>
  <c r="M989" s="1"/>
  <c r="J851"/>
  <c r="J990"/>
  <c r="I990" s="1"/>
  <c r="M960"/>
  <c r="L960" s="1"/>
  <c r="K960" s="1"/>
  <c r="J960" s="1"/>
  <c r="M996"/>
  <c r="L996" s="1"/>
  <c r="K996" s="1"/>
  <c r="J996" s="1"/>
  <c r="M1868"/>
  <c r="M1915"/>
  <c r="M1537"/>
  <c r="L1537" s="1"/>
  <c r="K1537" s="1"/>
  <c r="J1537" s="1"/>
  <c r="I1537" s="1"/>
  <c r="M1671"/>
  <c r="L1671" s="1"/>
  <c r="K1671" s="1"/>
  <c r="J1671" s="1"/>
  <c r="I1671" s="1"/>
  <c r="M1453"/>
  <c r="M1886"/>
  <c r="L1886" s="1"/>
  <c r="K1886" s="1"/>
  <c r="J1886" s="1"/>
  <c r="I1886" s="1"/>
  <c r="H1886" s="1"/>
  <c r="K1073"/>
  <c r="L1072"/>
  <c r="M936"/>
  <c r="L936" s="1"/>
  <c r="K936" s="1"/>
  <c r="J936" s="1"/>
  <c r="L541"/>
  <c r="L550"/>
  <c r="L636"/>
  <c r="L709"/>
  <c r="K709" s="1"/>
  <c r="J709" s="1"/>
  <c r="J718"/>
  <c r="J728"/>
  <c r="J736"/>
  <c r="J742"/>
  <c r="J761"/>
  <c r="L819"/>
  <c r="K819" s="1"/>
  <c r="J824"/>
  <c r="I824" s="1"/>
  <c r="L843"/>
  <c r="M1056"/>
  <c r="L1056" s="1"/>
  <c r="K1056" s="1"/>
  <c r="J1056" s="1"/>
  <c r="J508"/>
  <c r="M507"/>
  <c r="J507"/>
  <c r="J506" s="1"/>
  <c r="M506"/>
  <c r="K506"/>
  <c r="I506"/>
  <c r="J505"/>
  <c r="J504"/>
  <c r="K502"/>
  <c r="J502"/>
  <c r="J501"/>
  <c r="M500"/>
  <c r="K500"/>
  <c r="I500"/>
  <c r="J498"/>
  <c r="J497" s="1"/>
  <c r="M497"/>
  <c r="K497"/>
  <c r="I497"/>
  <c r="M494"/>
  <c r="L494"/>
  <c r="J519" l="1"/>
  <c r="K499"/>
  <c r="K816"/>
  <c r="J816" s="1"/>
  <c r="J815" s="1"/>
  <c r="I499"/>
  <c r="M499"/>
  <c r="J500"/>
  <c r="J499" s="1"/>
  <c r="L507"/>
  <c r="M1175"/>
  <c r="L1175" s="1"/>
  <c r="K1175" s="1"/>
  <c r="J1175" s="1"/>
  <c r="M565"/>
  <c r="L565" s="1"/>
  <c r="K565" s="1"/>
  <c r="J565" s="1"/>
  <c r="K928"/>
  <c r="J1073"/>
  <c r="J1072" s="1"/>
  <c r="K1072"/>
  <c r="K1062" s="1"/>
  <c r="M1670"/>
  <c r="L1670" s="1"/>
  <c r="K1670" s="1"/>
  <c r="J1670" s="1"/>
  <c r="I1670" s="1"/>
  <c r="M1867"/>
  <c r="L1867" s="1"/>
  <c r="K1867" s="1"/>
  <c r="J1867" s="1"/>
  <c r="I1867" s="1"/>
  <c r="M1486"/>
  <c r="M701"/>
  <c r="M732"/>
  <c r="K608"/>
  <c r="K605" s="1"/>
  <c r="J605" s="1"/>
  <c r="I605" s="1"/>
  <c r="M493"/>
  <c r="L493" s="1"/>
  <c r="L990"/>
  <c r="L989" s="1"/>
  <c r="K989" s="1"/>
  <c r="J989" s="1"/>
  <c r="I989" s="1"/>
  <c r="I816"/>
  <c r="I815" s="1"/>
  <c r="M935"/>
  <c r="L935" s="1"/>
  <c r="K935" s="1"/>
  <c r="J935" s="1"/>
  <c r="M988"/>
  <c r="L1453"/>
  <c r="K1453" s="1"/>
  <c r="M1536"/>
  <c r="L1536" s="1"/>
  <c r="K1536" s="1"/>
  <c r="J1536" s="1"/>
  <c r="I1536" s="1"/>
  <c r="L1915"/>
  <c r="K1915" s="1"/>
  <c r="M1911"/>
  <c r="M1478"/>
  <c r="J1698"/>
  <c r="K1697"/>
  <c r="M768"/>
  <c r="L768" s="1"/>
  <c r="K768" s="1"/>
  <c r="J768" s="1"/>
  <c r="M885"/>
  <c r="L885" s="1"/>
  <c r="J707"/>
  <c r="L816"/>
  <c r="J491"/>
  <c r="J490"/>
  <c r="M489"/>
  <c r="K489"/>
  <c r="I489"/>
  <c r="L488"/>
  <c r="L487"/>
  <c r="M486"/>
  <c r="K486"/>
  <c r="L484"/>
  <c r="L483" s="1"/>
  <c r="M483"/>
  <c r="K483"/>
  <c r="J483"/>
  <c r="J480"/>
  <c r="K479"/>
  <c r="J479"/>
  <c r="J478"/>
  <c r="K477"/>
  <c r="J477"/>
  <c r="J476"/>
  <c r="M475"/>
  <c r="I475"/>
  <c r="K474"/>
  <c r="K471" s="1"/>
  <c r="J474"/>
  <c r="J473"/>
  <c r="J472"/>
  <c r="M471"/>
  <c r="I471"/>
  <c r="L469"/>
  <c r="M468"/>
  <c r="L468"/>
  <c r="K468"/>
  <c r="J468"/>
  <c r="K466"/>
  <c r="M465"/>
  <c r="K465"/>
  <c r="J465"/>
  <c r="L464"/>
  <c r="L463" s="1"/>
  <c r="M463"/>
  <c r="K463"/>
  <c r="J463"/>
  <c r="J460"/>
  <c r="K459"/>
  <c r="J459"/>
  <c r="M458"/>
  <c r="I458"/>
  <c r="J457"/>
  <c r="K456"/>
  <c r="J456"/>
  <c r="M455"/>
  <c r="I455"/>
  <c r="L453"/>
  <c r="L452" s="1"/>
  <c r="M452"/>
  <c r="K452"/>
  <c r="J452"/>
  <c r="J451"/>
  <c r="J450" s="1"/>
  <c r="M450"/>
  <c r="K450"/>
  <c r="I450"/>
  <c r="L477" l="1"/>
  <c r="L459"/>
  <c r="L474"/>
  <c r="L479"/>
  <c r="L456"/>
  <c r="I454"/>
  <c r="J471"/>
  <c r="L486"/>
  <c r="J1697"/>
  <c r="I470"/>
  <c r="I461" s="1"/>
  <c r="M470"/>
  <c r="J475"/>
  <c r="M485"/>
  <c r="J489"/>
  <c r="J485" s="1"/>
  <c r="I485" s="1"/>
  <c r="L1911"/>
  <c r="K485"/>
  <c r="M777"/>
  <c r="L777" s="1"/>
  <c r="K777" s="1"/>
  <c r="J777" s="1"/>
  <c r="M884"/>
  <c r="L884" s="1"/>
  <c r="K884" s="1"/>
  <c r="J884" s="1"/>
  <c r="I884" s="1"/>
  <c r="M570"/>
  <c r="M1027"/>
  <c r="L1027" s="1"/>
  <c r="K1027" s="1"/>
  <c r="J1027" s="1"/>
  <c r="J1915"/>
  <c r="K1911"/>
  <c r="M707"/>
  <c r="L1486"/>
  <c r="K1486" s="1"/>
  <c r="J1486" s="1"/>
  <c r="I1486" s="1"/>
  <c r="M1482"/>
  <c r="M1174"/>
  <c r="L1174" s="1"/>
  <c r="K1174" s="1"/>
  <c r="J1174" s="1"/>
  <c r="J458"/>
  <c r="M1535"/>
  <c r="L1535" s="1"/>
  <c r="K1535" s="1"/>
  <c r="J1535" s="1"/>
  <c r="I1535" s="1"/>
  <c r="M987"/>
  <c r="M1669"/>
  <c r="L1669" s="1"/>
  <c r="K1669" s="1"/>
  <c r="J1669" s="1"/>
  <c r="I1669" s="1"/>
  <c r="M785"/>
  <c r="L785" s="1"/>
  <c r="K785" s="1"/>
  <c r="J785" s="1"/>
  <c r="I1697"/>
  <c r="L1478"/>
  <c r="J1453"/>
  <c r="M781"/>
  <c r="L781" s="1"/>
  <c r="K781" s="1"/>
  <c r="J781" s="1"/>
  <c r="M577"/>
  <c r="L577" s="1"/>
  <c r="K577" s="1"/>
  <c r="J577" s="1"/>
  <c r="I577" s="1"/>
  <c r="H577" s="1"/>
  <c r="M575"/>
  <c r="M828"/>
  <c r="M827" s="1"/>
  <c r="M1866"/>
  <c r="L1866" s="1"/>
  <c r="K1866" s="1"/>
  <c r="J1866" s="1"/>
  <c r="I1866" s="1"/>
  <c r="M1910"/>
  <c r="I1072"/>
  <c r="J1062"/>
  <c r="I928"/>
  <c r="J928"/>
  <c r="L988"/>
  <c r="J447"/>
  <c r="M446"/>
  <c r="K446"/>
  <c r="J446"/>
  <c r="K445"/>
  <c r="I445"/>
  <c r="J444"/>
  <c r="J443"/>
  <c r="J442"/>
  <c r="J441"/>
  <c r="M440"/>
  <c r="K440"/>
  <c r="J440"/>
  <c r="J439"/>
  <c r="M438"/>
  <c r="K438"/>
  <c r="I438"/>
  <c r="J437"/>
  <c r="M436"/>
  <c r="J436"/>
  <c r="J435"/>
  <c r="M434"/>
  <c r="K434"/>
  <c r="J434"/>
  <c r="I433"/>
  <c r="J432"/>
  <c r="K431"/>
  <c r="M430"/>
  <c r="K430"/>
  <c r="I430"/>
  <c r="J429"/>
  <c r="K428"/>
  <c r="J428"/>
  <c r="J427"/>
  <c r="M426"/>
  <c r="K426"/>
  <c r="J426"/>
  <c r="I425"/>
  <c r="L423"/>
  <c r="J422"/>
  <c r="J421" s="1"/>
  <c r="M421"/>
  <c r="K421"/>
  <c r="I421"/>
  <c r="H421"/>
  <c r="L420"/>
  <c r="J419"/>
  <c r="M418"/>
  <c r="K418"/>
  <c r="J418"/>
  <c r="M417"/>
  <c r="K417"/>
  <c r="J417"/>
  <c r="M416"/>
  <c r="J416"/>
  <c r="I415"/>
  <c r="K414"/>
  <c r="J414"/>
  <c r="K413"/>
  <c r="J413"/>
  <c r="M412"/>
  <c r="I412"/>
  <c r="J409"/>
  <c r="J408" s="1"/>
  <c r="M408"/>
  <c r="K408"/>
  <c r="I408"/>
  <c r="H408"/>
  <c r="J407"/>
  <c r="J406"/>
  <c r="M405"/>
  <c r="K405"/>
  <c r="K404" s="1"/>
  <c r="I405"/>
  <c r="H405"/>
  <c r="M402"/>
  <c r="L402"/>
  <c r="K400"/>
  <c r="J400"/>
  <c r="K399"/>
  <c r="J399"/>
  <c r="J398"/>
  <c r="M397"/>
  <c r="K397"/>
  <c r="I397"/>
  <c r="H397"/>
  <c r="L396"/>
  <c r="L395" s="1"/>
  <c r="M395"/>
  <c r="K395"/>
  <c r="L393"/>
  <c r="L392"/>
  <c r="K391"/>
  <c r="M390"/>
  <c r="K390"/>
  <c r="J390"/>
  <c r="L388"/>
  <c r="L387" s="1"/>
  <c r="M387"/>
  <c r="K387"/>
  <c r="J387"/>
  <c r="L385"/>
  <c r="L384" s="1"/>
  <c r="M384"/>
  <c r="K384"/>
  <c r="J384"/>
  <c r="M415" l="1"/>
  <c r="K433"/>
  <c r="L418"/>
  <c r="L400"/>
  <c r="L428"/>
  <c r="M433"/>
  <c r="J438"/>
  <c r="L438" s="1"/>
  <c r="J470"/>
  <c r="L446"/>
  <c r="L413"/>
  <c r="L414"/>
  <c r="L417"/>
  <c r="L440"/>
  <c r="M482"/>
  <c r="L482" s="1"/>
  <c r="K482" s="1"/>
  <c r="J482" s="1"/>
  <c r="L1910"/>
  <c r="K1910"/>
  <c r="M411"/>
  <c r="J415"/>
  <c r="J430"/>
  <c r="K394"/>
  <c r="J405"/>
  <c r="J445"/>
  <c r="L1482"/>
  <c r="K1482" s="1"/>
  <c r="J1482" s="1"/>
  <c r="I1482" s="1"/>
  <c r="M394"/>
  <c r="J397"/>
  <c r="J394" s="1"/>
  <c r="I394" s="1"/>
  <c r="H394" s="1"/>
  <c r="M401"/>
  <c r="L401" s="1"/>
  <c r="J404"/>
  <c r="I404" s="1"/>
  <c r="H404" s="1"/>
  <c r="L416"/>
  <c r="J425"/>
  <c r="L412"/>
  <c r="K412" s="1"/>
  <c r="M1909"/>
  <c r="M1865"/>
  <c r="I1453"/>
  <c r="K1478"/>
  <c r="M1173"/>
  <c r="L1173" s="1"/>
  <c r="K1173" s="1"/>
  <c r="J1173" s="1"/>
  <c r="M1004"/>
  <c r="L1004" s="1"/>
  <c r="K1004" s="1"/>
  <c r="J1004" s="1"/>
  <c r="I1004" s="1"/>
  <c r="M1026"/>
  <c r="L1026" s="1"/>
  <c r="K1026" s="1"/>
  <c r="J1026" s="1"/>
  <c r="L399"/>
  <c r="L426"/>
  <c r="L434"/>
  <c r="I1062"/>
  <c r="M467"/>
  <c r="L467" s="1"/>
  <c r="K467" s="1"/>
  <c r="J467" s="1"/>
  <c r="K988"/>
  <c r="J988" s="1"/>
  <c r="I988" s="1"/>
  <c r="L987"/>
  <c r="M574"/>
  <c r="L574" s="1"/>
  <c r="M593"/>
  <c r="L593" s="1"/>
  <c r="K593" s="1"/>
  <c r="J593" s="1"/>
  <c r="I593" s="1"/>
  <c r="I1915"/>
  <c r="I1911" s="1"/>
  <c r="J1911"/>
  <c r="J1910" s="1"/>
  <c r="L570"/>
  <c r="K570" s="1"/>
  <c r="M564"/>
  <c r="L436"/>
  <c r="M780"/>
  <c r="M883"/>
  <c r="L883" s="1"/>
  <c r="K883" s="1"/>
  <c r="J883" s="1"/>
  <c r="I883" s="1"/>
  <c r="J380"/>
  <c r="J379"/>
  <c r="M378"/>
  <c r="K378"/>
  <c r="I378"/>
  <c r="J375"/>
  <c r="J374"/>
  <c r="M373"/>
  <c r="K373"/>
  <c r="I373"/>
  <c r="J372"/>
  <c r="J370"/>
  <c r="M369"/>
  <c r="K369"/>
  <c r="I369"/>
  <c r="L364"/>
  <c r="M363"/>
  <c r="L363"/>
  <c r="K363"/>
  <c r="J363"/>
  <c r="K362"/>
  <c r="M361"/>
  <c r="K361"/>
  <c r="J361"/>
  <c r="K358"/>
  <c r="L359"/>
  <c r="M358"/>
  <c r="J358"/>
  <c r="K356"/>
  <c r="L357"/>
  <c r="M356"/>
  <c r="J356"/>
  <c r="J354"/>
  <c r="J353" s="1"/>
  <c r="M353"/>
  <c r="K353"/>
  <c r="I353"/>
  <c r="J348"/>
  <c r="J347" s="1"/>
  <c r="M347"/>
  <c r="K347"/>
  <c r="I347"/>
  <c r="J343"/>
  <c r="K341"/>
  <c r="J341"/>
  <c r="M340"/>
  <c r="I340"/>
  <c r="J338"/>
  <c r="J337" s="1"/>
  <c r="M337"/>
  <c r="K337"/>
  <c r="K336" s="1"/>
  <c r="I337"/>
  <c r="M335"/>
  <c r="K335"/>
  <c r="K334" s="1"/>
  <c r="J334"/>
  <c r="L332"/>
  <c r="J331"/>
  <c r="K330"/>
  <c r="J330"/>
  <c r="K329"/>
  <c r="J329"/>
  <c r="K328"/>
  <c r="J328"/>
  <c r="J327"/>
  <c r="M326"/>
  <c r="K326"/>
  <c r="I326"/>
  <c r="J324"/>
  <c r="J323"/>
  <c r="J322"/>
  <c r="J321"/>
  <c r="M320"/>
  <c r="K320"/>
  <c r="K319" s="1"/>
  <c r="I320"/>
  <c r="J317"/>
  <c r="J316"/>
  <c r="M315"/>
  <c r="K315"/>
  <c r="I315"/>
  <c r="J314"/>
  <c r="J313" s="1"/>
  <c r="M313"/>
  <c r="K313"/>
  <c r="I313"/>
  <c r="M312"/>
  <c r="K312"/>
  <c r="J312"/>
  <c r="K311"/>
  <c r="I311"/>
  <c r="I307" s="1"/>
  <c r="M310"/>
  <c r="K310"/>
  <c r="J310"/>
  <c r="K309"/>
  <c r="J309"/>
  <c r="L306"/>
  <c r="K305"/>
  <c r="J305"/>
  <c r="J304" s="1"/>
  <c r="M304"/>
  <c r="I304"/>
  <c r="J303"/>
  <c r="J302"/>
  <c r="K301"/>
  <c r="K299" s="1"/>
  <c r="J301"/>
  <c r="J300"/>
  <c r="M299"/>
  <c r="I299"/>
  <c r="J297"/>
  <c r="J296" s="1"/>
  <c r="M296"/>
  <c r="K296"/>
  <c r="I296"/>
  <c r="H296"/>
  <c r="J295"/>
  <c r="J294"/>
  <c r="M293"/>
  <c r="K293"/>
  <c r="I293"/>
  <c r="J292"/>
  <c r="J291" s="1"/>
  <c r="M291"/>
  <c r="K291"/>
  <c r="I291"/>
  <c r="I290" s="1"/>
  <c r="H291"/>
  <c r="L287"/>
  <c r="M286"/>
  <c r="M285" s="1"/>
  <c r="L286"/>
  <c r="K286"/>
  <c r="K285" s="1"/>
  <c r="L282"/>
  <c r="L281"/>
  <c r="M280"/>
  <c r="K280"/>
  <c r="J280"/>
  <c r="J277"/>
  <c r="I276"/>
  <c r="J275"/>
  <c r="J274"/>
  <c r="M273"/>
  <c r="K273"/>
  <c r="I273"/>
  <c r="L271"/>
  <c r="M270"/>
  <c r="L270"/>
  <c r="K270"/>
  <c r="J270"/>
  <c r="I265"/>
  <c r="I262" s="1"/>
  <c r="J264"/>
  <c r="J263"/>
  <c r="M262"/>
  <c r="K262"/>
  <c r="J258"/>
  <c r="J257" s="1"/>
  <c r="M257"/>
  <c r="K257"/>
  <c r="I257"/>
  <c r="K256"/>
  <c r="J256"/>
  <c r="J255" s="1"/>
  <c r="M255"/>
  <c r="I255"/>
  <c r="J251"/>
  <c r="J250" s="1"/>
  <c r="M250"/>
  <c r="K250"/>
  <c r="I250"/>
  <c r="K249"/>
  <c r="K244"/>
  <c r="M243"/>
  <c r="K243"/>
  <c r="J242"/>
  <c r="L241"/>
  <c r="M240"/>
  <c r="K240"/>
  <c r="J240"/>
  <c r="I240"/>
  <c r="H240"/>
  <c r="J239"/>
  <c r="J238"/>
  <c r="J237"/>
  <c r="I236"/>
  <c r="I233" s="1"/>
  <c r="J235"/>
  <c r="K234"/>
  <c r="J234"/>
  <c r="M233"/>
  <c r="J232"/>
  <c r="J231" s="1"/>
  <c r="M231"/>
  <c r="K231"/>
  <c r="I231"/>
  <c r="H231"/>
  <c r="L229"/>
  <c r="K228"/>
  <c r="J228"/>
  <c r="J227" s="1"/>
  <c r="M227"/>
  <c r="M226" s="1"/>
  <c r="I227"/>
  <c r="J225"/>
  <c r="J224" s="1"/>
  <c r="M224"/>
  <c r="K224"/>
  <c r="I224"/>
  <c r="L223"/>
  <c r="I222"/>
  <c r="M221"/>
  <c r="K221"/>
  <c r="I221"/>
  <c r="J220"/>
  <c r="J219" s="1"/>
  <c r="M219"/>
  <c r="K219"/>
  <c r="I219"/>
  <c r="J218"/>
  <c r="J217" s="1"/>
  <c r="M217"/>
  <c r="K217"/>
  <c r="I217"/>
  <c r="J216"/>
  <c r="J215" s="1"/>
  <c r="M215"/>
  <c r="K215"/>
  <c r="I215"/>
  <c r="J214"/>
  <c r="J213" s="1"/>
  <c r="M213"/>
  <c r="K213"/>
  <c r="I213"/>
  <c r="J212"/>
  <c r="J211" s="1"/>
  <c r="M211"/>
  <c r="K211"/>
  <c r="I211"/>
  <c r="J210"/>
  <c r="J209" s="1"/>
  <c r="M209"/>
  <c r="K209"/>
  <c r="I209"/>
  <c r="J208"/>
  <c r="J207" s="1"/>
  <c r="M207"/>
  <c r="K207"/>
  <c r="I207"/>
  <c r="J206"/>
  <c r="J205" s="1"/>
  <c r="M205"/>
  <c r="K205"/>
  <c r="I205"/>
  <c r="J203"/>
  <c r="J202" s="1"/>
  <c r="M202"/>
  <c r="K202"/>
  <c r="I202"/>
  <c r="M201"/>
  <c r="J201"/>
  <c r="K200"/>
  <c r="J200"/>
  <c r="I200"/>
  <c r="L199"/>
  <c r="J198"/>
  <c r="J197" s="1"/>
  <c r="M197"/>
  <c r="K197"/>
  <c r="I197"/>
  <c r="J196"/>
  <c r="J195" s="1"/>
  <c r="M195"/>
  <c r="K195"/>
  <c r="I195"/>
  <c r="M191"/>
  <c r="L191"/>
  <c r="L189"/>
  <c r="L188" s="1"/>
  <c r="M188"/>
  <c r="K188"/>
  <c r="J187"/>
  <c r="J186" s="1"/>
  <c r="M186"/>
  <c r="K186"/>
  <c r="I186"/>
  <c r="H186"/>
  <c r="M185"/>
  <c r="K184"/>
  <c r="K183"/>
  <c r="J183"/>
  <c r="K182"/>
  <c r="J181"/>
  <c r="J180"/>
  <c r="J179"/>
  <c r="J178"/>
  <c r="M177"/>
  <c r="I177"/>
  <c r="K175"/>
  <c r="J175"/>
  <c r="M174"/>
  <c r="K174"/>
  <c r="J174"/>
  <c r="K173"/>
  <c r="J173"/>
  <c r="M172"/>
  <c r="M171" s="1"/>
  <c r="K172"/>
  <c r="J172"/>
  <c r="L172" s="1"/>
  <c r="I171"/>
  <c r="K177" l="1"/>
  <c r="K307"/>
  <c r="L234"/>
  <c r="J433"/>
  <c r="L175"/>
  <c r="K368"/>
  <c r="J369"/>
  <c r="K290"/>
  <c r="L301"/>
  <c r="L1909"/>
  <c r="K1909" s="1"/>
  <c r="L310"/>
  <c r="J311"/>
  <c r="L311" s="1"/>
  <c r="M355"/>
  <c r="K355"/>
  <c r="L183"/>
  <c r="L312"/>
  <c r="L329"/>
  <c r="L330"/>
  <c r="L335"/>
  <c r="M481"/>
  <c r="J378"/>
  <c r="K481"/>
  <c r="J481" s="1"/>
  <c r="I481" s="1"/>
  <c r="J424"/>
  <c r="I424" s="1"/>
  <c r="M254"/>
  <c r="L280"/>
  <c r="J171"/>
  <c r="M230"/>
  <c r="J315"/>
  <c r="J293"/>
  <c r="J290" s="1"/>
  <c r="J320"/>
  <c r="J319" s="1"/>
  <c r="J373"/>
  <c r="J299"/>
  <c r="I298"/>
  <c r="I284" s="1"/>
  <c r="J368"/>
  <c r="J367" s="1"/>
  <c r="I1910"/>
  <c r="J177"/>
  <c r="K194"/>
  <c r="J194" s="1"/>
  <c r="L201"/>
  <c r="M200" s="1"/>
  <c r="M194" s="1"/>
  <c r="J249"/>
  <c r="I249" s="1"/>
  <c r="M204"/>
  <c r="I194"/>
  <c r="K204"/>
  <c r="L285"/>
  <c r="J307"/>
  <c r="J326"/>
  <c r="J340"/>
  <c r="J355"/>
  <c r="J204"/>
  <c r="I204" s="1"/>
  <c r="I368"/>
  <c r="I367" s="1"/>
  <c r="J570"/>
  <c r="I570" s="1"/>
  <c r="K564"/>
  <c r="M1025"/>
  <c r="L1025" s="1"/>
  <c r="K1025" s="1"/>
  <c r="J1025" s="1"/>
  <c r="J1478"/>
  <c r="I1478" s="1"/>
  <c r="H1453"/>
  <c r="L256"/>
  <c r="L305"/>
  <c r="L309"/>
  <c r="L328"/>
  <c r="L780"/>
  <c r="M776"/>
  <c r="L564"/>
  <c r="K574"/>
  <c r="J574" s="1"/>
  <c r="L1865"/>
  <c r="K1865" s="1"/>
  <c r="J412"/>
  <c r="L174"/>
  <c r="J336"/>
  <c r="I336" s="1"/>
  <c r="M592"/>
  <c r="L592" s="1"/>
  <c r="K592" s="1"/>
  <c r="J592" s="1"/>
  <c r="I592" s="1"/>
  <c r="K987"/>
  <c r="J987" s="1"/>
  <c r="I987" s="1"/>
  <c r="J1909"/>
  <c r="I1909" s="1"/>
  <c r="J168"/>
  <c r="K167"/>
  <c r="I167"/>
  <c r="I166" s="1"/>
  <c r="M166"/>
  <c r="K163"/>
  <c r="K162"/>
  <c r="J162"/>
  <c r="M161"/>
  <c r="I161"/>
  <c r="J159"/>
  <c r="J158" s="1"/>
  <c r="M158"/>
  <c r="K158"/>
  <c r="I158"/>
  <c r="H158"/>
  <c r="L156"/>
  <c r="M155"/>
  <c r="L155"/>
  <c r="L154" s="1"/>
  <c r="K155"/>
  <c r="K152"/>
  <c r="J152"/>
  <c r="M151"/>
  <c r="I151"/>
  <c r="J147"/>
  <c r="J146" s="1"/>
  <c r="M146"/>
  <c r="K146"/>
  <c r="I146"/>
  <c r="J145"/>
  <c r="J144" s="1"/>
  <c r="M144"/>
  <c r="K144"/>
  <c r="K143" s="1"/>
  <c r="I144"/>
  <c r="J140"/>
  <c r="L140" s="1"/>
  <c r="M139"/>
  <c r="K139"/>
  <c r="I139"/>
  <c r="H139"/>
  <c r="J138"/>
  <c r="L138" s="1"/>
  <c r="M137"/>
  <c r="K137"/>
  <c r="I137"/>
  <c r="H137"/>
  <c r="J136"/>
  <c r="L136" s="1"/>
  <c r="J133"/>
  <c r="J132" s="1"/>
  <c r="M132"/>
  <c r="K132"/>
  <c r="I132"/>
  <c r="J131"/>
  <c r="L131" s="1"/>
  <c r="M130"/>
  <c r="K130"/>
  <c r="I130"/>
  <c r="I128"/>
  <c r="I127" s="1"/>
  <c r="M127"/>
  <c r="K127"/>
  <c r="H127"/>
  <c r="L126"/>
  <c r="M125"/>
  <c r="K125"/>
  <c r="I125"/>
  <c r="I124"/>
  <c r="I123" s="1"/>
  <c r="M123"/>
  <c r="K123"/>
  <c r="H123"/>
  <c r="L122"/>
  <c r="M121"/>
  <c r="L121"/>
  <c r="K121"/>
  <c r="J121"/>
  <c r="J120"/>
  <c r="J119" s="1"/>
  <c r="M119"/>
  <c r="K119"/>
  <c r="I119"/>
  <c r="J118"/>
  <c r="L118" s="1"/>
  <c r="M117"/>
  <c r="K117"/>
  <c r="I117"/>
  <c r="J116"/>
  <c r="J115" s="1"/>
  <c r="M115"/>
  <c r="K115"/>
  <c r="I115"/>
  <c r="I114"/>
  <c r="I113" s="1"/>
  <c r="M113"/>
  <c r="K113"/>
  <c r="J110"/>
  <c r="J109" s="1"/>
  <c r="M109"/>
  <c r="K109"/>
  <c r="I109"/>
  <c r="H109"/>
  <c r="J107"/>
  <c r="L107" s="1"/>
  <c r="M106"/>
  <c r="K106"/>
  <c r="I106"/>
  <c r="H106"/>
  <c r="J103"/>
  <c r="J102" s="1"/>
  <c r="M102"/>
  <c r="K102"/>
  <c r="I102"/>
  <c r="H102"/>
  <c r="J101"/>
  <c r="J100" s="1"/>
  <c r="M100"/>
  <c r="K100"/>
  <c r="I100"/>
  <c r="H100"/>
  <c r="L98"/>
  <c r="M97"/>
  <c r="M96" s="1"/>
  <c r="L97"/>
  <c r="K97"/>
  <c r="K96" s="1"/>
  <c r="J95"/>
  <c r="L95" s="1"/>
  <c r="M94"/>
  <c r="K94"/>
  <c r="I94"/>
  <c r="H94"/>
  <c r="L92"/>
  <c r="M91"/>
  <c r="K91"/>
  <c r="J91"/>
  <c r="J89"/>
  <c r="L89" s="1"/>
  <c r="M88"/>
  <c r="K88"/>
  <c r="I88"/>
  <c r="H88"/>
  <c r="J87"/>
  <c r="L87" s="1"/>
  <c r="M86"/>
  <c r="K86"/>
  <c r="I86"/>
  <c r="H86"/>
  <c r="J85"/>
  <c r="L85" s="1"/>
  <c r="M84"/>
  <c r="K84"/>
  <c r="I84"/>
  <c r="H84"/>
  <c r="K81"/>
  <c r="J81"/>
  <c r="M80"/>
  <c r="I80"/>
  <c r="K79"/>
  <c r="J79"/>
  <c r="M78"/>
  <c r="I78"/>
  <c r="I76"/>
  <c r="I75" s="1"/>
  <c r="M75"/>
  <c r="K75"/>
  <c r="H75"/>
  <c r="I74"/>
  <c r="I73" s="1"/>
  <c r="M73"/>
  <c r="K73"/>
  <c r="H73"/>
  <c r="I72"/>
  <c r="I71" s="1"/>
  <c r="M71"/>
  <c r="K71"/>
  <c r="H71"/>
  <c r="K70"/>
  <c r="J70"/>
  <c r="M69"/>
  <c r="J69"/>
  <c r="I69"/>
  <c r="K68"/>
  <c r="J68"/>
  <c r="M67"/>
  <c r="I67"/>
  <c r="J66"/>
  <c r="J65" s="1"/>
  <c r="M65"/>
  <c r="K65"/>
  <c r="I65"/>
  <c r="L64"/>
  <c r="M63"/>
  <c r="L63"/>
  <c r="K63"/>
  <c r="J63"/>
  <c r="J62"/>
  <c r="J61" s="1"/>
  <c r="M61"/>
  <c r="K61"/>
  <c r="I61"/>
  <c r="J60"/>
  <c r="J59" s="1"/>
  <c r="M59"/>
  <c r="K59"/>
  <c r="I59"/>
  <c r="K58"/>
  <c r="K57"/>
  <c r="M56"/>
  <c r="J56"/>
  <c r="J55"/>
  <c r="J54" s="1"/>
  <c r="M54"/>
  <c r="K54"/>
  <c r="I54"/>
  <c r="L53"/>
  <c r="K52"/>
  <c r="J52"/>
  <c r="L52" s="1"/>
  <c r="L51" s="1"/>
  <c r="K51" s="1"/>
  <c r="M51"/>
  <c r="J51"/>
  <c r="I51"/>
  <c r="J50"/>
  <c r="J49" s="1"/>
  <c r="M49"/>
  <c r="K49"/>
  <c r="I49"/>
  <c r="J48"/>
  <c r="J47" s="1"/>
  <c r="M47"/>
  <c r="K47"/>
  <c r="I47"/>
  <c r="J44"/>
  <c r="J43" s="1"/>
  <c r="M43"/>
  <c r="K43"/>
  <c r="I43"/>
  <c r="H43"/>
  <c r="J42"/>
  <c r="J41" s="1"/>
  <c r="M41"/>
  <c r="K41"/>
  <c r="I41"/>
  <c r="H41"/>
  <c r="J40"/>
  <c r="J39" s="1"/>
  <c r="M39"/>
  <c r="K39"/>
  <c r="I39"/>
  <c r="H39"/>
  <c r="M36"/>
  <c r="L36"/>
  <c r="L34"/>
  <c r="M33"/>
  <c r="L33"/>
  <c r="K33"/>
  <c r="J31"/>
  <c r="J30"/>
  <c r="M29"/>
  <c r="K29"/>
  <c r="I29"/>
  <c r="H29"/>
  <c r="J25"/>
  <c r="J24" s="1"/>
  <c r="M24"/>
  <c r="K24"/>
  <c r="I24"/>
  <c r="H24"/>
  <c r="J21"/>
  <c r="J20"/>
  <c r="M19"/>
  <c r="K19"/>
  <c r="I19"/>
  <c r="H19"/>
  <c r="L18"/>
  <c r="K17"/>
  <c r="J17"/>
  <c r="J16" s="1"/>
  <c r="M16"/>
  <c r="I16"/>
  <c r="L14"/>
  <c r="L13" s="1"/>
  <c r="M13"/>
  <c r="K13"/>
  <c r="J13"/>
  <c r="L79" l="1"/>
  <c r="M77"/>
  <c r="M143"/>
  <c r="L81"/>
  <c r="L152"/>
  <c r="K56"/>
  <c r="L17"/>
  <c r="L70"/>
  <c r="M1003"/>
  <c r="L1003" s="1"/>
  <c r="K1003" s="1"/>
  <c r="J1003" s="1"/>
  <c r="I1003" s="1"/>
  <c r="L334"/>
  <c r="L68"/>
  <c r="L162"/>
  <c r="J167"/>
  <c r="L167" s="1"/>
  <c r="J29"/>
  <c r="H38"/>
  <c r="I15"/>
  <c r="M83"/>
  <c r="H99"/>
  <c r="K99"/>
  <c r="M193"/>
  <c r="M15"/>
  <c r="I46"/>
  <c r="K83"/>
  <c r="L200"/>
  <c r="J298"/>
  <c r="M462"/>
  <c r="M99"/>
  <c r="I135"/>
  <c r="M112"/>
  <c r="I83"/>
  <c r="I38"/>
  <c r="J84"/>
  <c r="J117"/>
  <c r="J125"/>
  <c r="J137"/>
  <c r="K135"/>
  <c r="M38"/>
  <c r="J88"/>
  <c r="J106"/>
  <c r="J19"/>
  <c r="J15" s="1"/>
  <c r="M142"/>
  <c r="K38"/>
  <c r="J38"/>
  <c r="J94"/>
  <c r="M35"/>
  <c r="L35" s="1"/>
  <c r="L117"/>
  <c r="L125"/>
  <c r="L137"/>
  <c r="L88"/>
  <c r="M46"/>
  <c r="H83"/>
  <c r="I112"/>
  <c r="K129"/>
  <c r="M135"/>
  <c r="K154"/>
  <c r="L304"/>
  <c r="K304" s="1"/>
  <c r="K298" s="1"/>
  <c r="K284" s="1"/>
  <c r="J99"/>
  <c r="I99"/>
  <c r="K112"/>
  <c r="J130"/>
  <c r="J129" s="1"/>
  <c r="I129" s="1"/>
  <c r="J143"/>
  <c r="I143" s="1"/>
  <c r="J284"/>
  <c r="L78"/>
  <c r="L80"/>
  <c r="K80" s="1"/>
  <c r="J80" s="1"/>
  <c r="L94"/>
  <c r="L130"/>
  <c r="L16"/>
  <c r="L69"/>
  <c r="K69" s="1"/>
  <c r="L86"/>
  <c r="L139"/>
  <c r="L151"/>
  <c r="K151" s="1"/>
  <c r="J151" s="1"/>
  <c r="L307"/>
  <c r="L255"/>
  <c r="J564"/>
  <c r="I319"/>
  <c r="L84"/>
  <c r="J86"/>
  <c r="L91"/>
  <c r="L96"/>
  <c r="L106"/>
  <c r="J139"/>
  <c r="J1865"/>
  <c r="I1865" s="1"/>
  <c r="I574"/>
  <c r="K780"/>
  <c r="L776"/>
  <c r="M1002"/>
  <c r="L1002" s="1"/>
  <c r="K1002" s="1"/>
  <c r="J1002" s="1"/>
  <c r="I1002" s="1"/>
  <c r="M334"/>
  <c r="L67" l="1"/>
  <c r="K67" s="1"/>
  <c r="J67" s="1"/>
  <c r="J46" s="1"/>
  <c r="J166"/>
  <c r="J135"/>
  <c r="L83"/>
  <c r="I142"/>
  <c r="L462"/>
  <c r="K462" s="1"/>
  <c r="J462" s="1"/>
  <c r="J461" s="1"/>
  <c r="M461"/>
  <c r="J83"/>
  <c r="L135"/>
  <c r="K111"/>
  <c r="M190"/>
  <c r="L190" s="1"/>
  <c r="I111"/>
  <c r="M333"/>
  <c r="L333" s="1"/>
  <c r="K333" s="1"/>
  <c r="J333" s="1"/>
  <c r="J780"/>
  <c r="J776" s="1"/>
  <c r="K776"/>
  <c r="M279"/>
  <c r="L279" s="1"/>
  <c r="K279" s="1"/>
  <c r="J279" s="1"/>
  <c r="I564"/>
  <c r="K78"/>
  <c r="L77"/>
  <c r="M383"/>
  <c r="L383" s="1"/>
  <c r="K383" s="1"/>
  <c r="J383" s="1"/>
  <c r="K255"/>
  <c r="K254" s="1"/>
  <c r="J254" s="1"/>
  <c r="I254" s="1"/>
  <c r="K16"/>
  <c r="K15" s="1"/>
  <c r="M105"/>
  <c r="M82" l="1"/>
  <c r="L82" s="1"/>
  <c r="K82" s="1"/>
  <c r="J82" s="1"/>
  <c r="I82" s="1"/>
  <c r="H82" s="1"/>
  <c r="L105"/>
  <c r="K105" s="1"/>
  <c r="J105" s="1"/>
  <c r="I105" s="1"/>
  <c r="H105" s="1"/>
  <c r="M104"/>
  <c r="M382"/>
  <c r="L382" s="1"/>
  <c r="K382" s="1"/>
  <c r="J382" s="1"/>
  <c r="M93"/>
  <c r="L93" s="1"/>
  <c r="K93" s="1"/>
  <c r="J93" s="1"/>
  <c r="I93" s="1"/>
  <c r="H93" s="1"/>
  <c r="J78"/>
  <c r="J77" s="1"/>
  <c r="I77" s="1"/>
  <c r="K77"/>
  <c r="M269"/>
  <c r="L269" s="1"/>
  <c r="K269" s="1"/>
  <c r="J269" s="1"/>
  <c r="M307"/>
  <c r="M298" s="1"/>
  <c r="M278"/>
  <c r="L278" s="1"/>
  <c r="K278" s="1"/>
  <c r="J278" s="1"/>
  <c r="M268" l="1"/>
  <c r="L268" s="1"/>
  <c r="K268" s="1"/>
  <c r="J268" s="1"/>
  <c r="M150"/>
  <c r="L150" s="1"/>
  <c r="K150" s="1"/>
  <c r="J150" s="1"/>
  <c r="I150" s="1"/>
  <c r="M32"/>
  <c r="L32" s="1"/>
  <c r="K32" s="1"/>
  <c r="L104"/>
  <c r="K104" l="1"/>
  <c r="J104" s="1"/>
  <c r="I104" s="1"/>
  <c r="M134"/>
  <c r="L134" s="1"/>
  <c r="K134" s="1"/>
  <c r="J134" s="1"/>
  <c r="I134" s="1"/>
  <c r="M149"/>
  <c r="L149" s="1"/>
  <c r="K149" s="1"/>
  <c r="J149" s="1"/>
  <c r="I149" s="1"/>
  <c r="M148" l="1"/>
  <c r="L148" s="1"/>
  <c r="K148" s="1"/>
  <c r="J148" s="1"/>
  <c r="I148" s="1"/>
  <c r="L20" l="1"/>
  <c r="L21"/>
  <c r="L19" s="1"/>
  <c r="L15" s="1"/>
  <c r="L25"/>
  <c r="L48"/>
  <c r="L50"/>
  <c r="L55"/>
  <c r="L60"/>
  <c r="L62"/>
  <c r="L61" s="1"/>
  <c r="L66"/>
  <c r="L57"/>
  <c r="L58"/>
  <c r="J74"/>
  <c r="J76"/>
  <c r="L76" s="1"/>
  <c r="J72"/>
  <c r="L72" s="1"/>
  <c r="L40"/>
  <c r="L42"/>
  <c r="L44"/>
  <c r="L30"/>
  <c r="L31"/>
  <c r="J114"/>
  <c r="L116"/>
  <c r="L120"/>
  <c r="L133"/>
  <c r="J124"/>
  <c r="L124" s="1"/>
  <c r="J128"/>
  <c r="L128" s="1"/>
  <c r="L110"/>
  <c r="L101"/>
  <c r="L103"/>
  <c r="L145"/>
  <c r="L147"/>
  <c r="L163"/>
  <c r="L161" s="1"/>
  <c r="L160" s="1"/>
  <c r="L159"/>
  <c r="M160"/>
  <c r="M157" s="1"/>
  <c r="M154"/>
  <c r="L168"/>
  <c r="L173"/>
  <c r="L178"/>
  <c r="L179"/>
  <c r="L180"/>
  <c r="L181"/>
  <c r="L184"/>
  <c r="L182"/>
  <c r="L196"/>
  <c r="L198"/>
  <c r="L197" s="1"/>
  <c r="L203"/>
  <c r="L206"/>
  <c r="L208"/>
  <c r="L210"/>
  <c r="L212"/>
  <c r="L214"/>
  <c r="L216"/>
  <c r="L218"/>
  <c r="L220"/>
  <c r="J222"/>
  <c r="L222" s="1"/>
  <c r="L225"/>
  <c r="L228"/>
  <c r="L235"/>
  <c r="J236"/>
  <c r="L236" s="1"/>
  <c r="L237"/>
  <c r="L238"/>
  <c r="L239"/>
  <c r="L232"/>
  <c r="L242"/>
  <c r="L187"/>
  <c r="L244"/>
  <c r="L251"/>
  <c r="L258"/>
  <c r="L263"/>
  <c r="L264"/>
  <c r="J265"/>
  <c r="L265" s="1"/>
  <c r="L274"/>
  <c r="L275"/>
  <c r="J276"/>
  <c r="L277"/>
  <c r="L294"/>
  <c r="L295"/>
  <c r="L292"/>
  <c r="L297"/>
  <c r="L300"/>
  <c r="L302"/>
  <c r="L303"/>
  <c r="L314"/>
  <c r="L316"/>
  <c r="L317"/>
  <c r="L321"/>
  <c r="L322"/>
  <c r="L323"/>
  <c r="L324"/>
  <c r="L327"/>
  <c r="L331"/>
  <c r="L338"/>
  <c r="L341"/>
  <c r="L343"/>
  <c r="L348"/>
  <c r="L347" s="1"/>
  <c r="L346" s="1"/>
  <c r="L345" s="1"/>
  <c r="L344" s="1"/>
  <c r="L354"/>
  <c r="L362"/>
  <c r="L370"/>
  <c r="L372"/>
  <c r="L374"/>
  <c r="L375"/>
  <c r="L379"/>
  <c r="L380"/>
  <c r="L419"/>
  <c r="L422"/>
  <c r="L427"/>
  <c r="L429"/>
  <c r="L432"/>
  <c r="L431"/>
  <c r="L435"/>
  <c r="L441"/>
  <c r="L443"/>
  <c r="L444"/>
  <c r="L437"/>
  <c r="L442"/>
  <c r="L439"/>
  <c r="L447"/>
  <c r="L398"/>
  <c r="L406"/>
  <c r="L407"/>
  <c r="L409"/>
  <c r="L391"/>
  <c r="L451"/>
  <c r="L457"/>
  <c r="L460"/>
  <c r="L472"/>
  <c r="L473"/>
  <c r="L476"/>
  <c r="L478"/>
  <c r="L480"/>
  <c r="L466"/>
  <c r="L465" s="1"/>
  <c r="L490"/>
  <c r="L491"/>
  <c r="L498"/>
  <c r="L501"/>
  <c r="L502"/>
  <c r="L504"/>
  <c r="L505"/>
  <c r="L508"/>
  <c r="L512"/>
  <c r="L513"/>
  <c r="L514"/>
  <c r="L515"/>
  <c r="L516"/>
  <c r="L517"/>
  <c r="L521"/>
  <c r="L522"/>
  <c r="L523"/>
  <c r="L525"/>
  <c r="L524"/>
  <c r="L531"/>
  <c r="L534"/>
  <c r="L542"/>
  <c r="L545"/>
  <c r="L547"/>
  <c r="L548"/>
  <c r="L551"/>
  <c r="L552"/>
  <c r="L557"/>
  <c r="L560"/>
  <c r="L561"/>
  <c r="L584"/>
  <c r="L589"/>
  <c r="L591"/>
  <c r="L581"/>
  <c r="J604"/>
  <c r="L600"/>
  <c r="L611"/>
  <c r="L613"/>
  <c r="L621"/>
  <c r="L622"/>
  <c r="L623"/>
  <c r="L624"/>
  <c r="L625"/>
  <c r="L626"/>
  <c r="L629"/>
  <c r="L635"/>
  <c r="L637"/>
  <c r="L639"/>
  <c r="L640"/>
  <c r="L687"/>
  <c r="L689"/>
  <c r="L691"/>
  <c r="L693"/>
  <c r="L704"/>
  <c r="L706"/>
  <c r="L712"/>
  <c r="L723"/>
  <c r="L725"/>
  <c r="L735"/>
  <c r="L739"/>
  <c r="L738" s="1"/>
  <c r="L745"/>
  <c r="L750"/>
  <c r="L751"/>
  <c r="L757"/>
  <c r="J759"/>
  <c r="L695"/>
  <c r="L699"/>
  <c r="L715"/>
  <c r="L764"/>
  <c r="L645"/>
  <c r="L647"/>
  <c r="L649"/>
  <c r="L648" s="1"/>
  <c r="L651"/>
  <c r="L653"/>
  <c r="L655"/>
  <c r="L657"/>
  <c r="L659"/>
  <c r="L661"/>
  <c r="L665"/>
  <c r="L667"/>
  <c r="L669"/>
  <c r="L677"/>
  <c r="L679"/>
  <c r="L683"/>
  <c r="J774"/>
  <c r="L774" s="1"/>
  <c r="L791"/>
  <c r="L799"/>
  <c r="L796"/>
  <c r="L806"/>
  <c r="L807"/>
  <c r="L808"/>
  <c r="L809"/>
  <c r="L810"/>
  <c r="L811"/>
  <c r="L822"/>
  <c r="L826"/>
  <c r="L839"/>
  <c r="L840"/>
  <c r="L848"/>
  <c r="L849"/>
  <c r="L858"/>
  <c r="J864"/>
  <c r="L868"/>
  <c r="L870"/>
  <c r="L874"/>
  <c r="L880"/>
  <c r="L882"/>
  <c r="L893"/>
  <c r="L895"/>
  <c r="J897"/>
  <c r="L903"/>
  <c r="L905"/>
  <c r="L906"/>
  <c r="L909"/>
  <c r="L910"/>
  <c r="L914"/>
  <c r="L918"/>
  <c r="L920"/>
  <c r="L922"/>
  <c r="L923"/>
  <c r="L924"/>
  <c r="L933"/>
  <c r="L927"/>
  <c r="L951"/>
  <c r="L954"/>
  <c r="L948"/>
  <c r="L946"/>
  <c r="L969"/>
  <c r="L970"/>
  <c r="L965"/>
  <c r="J975"/>
  <c r="L983"/>
  <c r="L981" s="1"/>
  <c r="L978" s="1"/>
  <c r="L977" s="1"/>
  <c r="L976" s="1"/>
  <c r="L1012"/>
  <c r="L1017"/>
  <c r="L1022"/>
  <c r="L1023"/>
  <c r="L1033"/>
  <c r="L1034"/>
  <c r="L1039"/>
  <c r="J1049"/>
  <c r="L1049" s="1"/>
  <c r="L1048" s="1"/>
  <c r="L1051"/>
  <c r="L1061"/>
  <c r="L1064"/>
  <c r="L1070"/>
  <c r="L1071"/>
  <c r="L1084"/>
  <c r="L1093"/>
  <c r="L1096"/>
  <c r="L1090"/>
  <c r="L1107"/>
  <c r="L1109"/>
  <c r="L1114"/>
  <c r="L1112"/>
  <c r="L1116"/>
  <c r="L1102"/>
  <c r="L1130"/>
  <c r="J1124"/>
  <c r="L1124" s="1"/>
  <c r="L1135"/>
  <c r="L1136"/>
  <c r="L1137"/>
  <c r="L1138"/>
  <c r="L1139"/>
  <c r="L1140"/>
  <c r="L1146"/>
  <c r="L1147"/>
  <c r="L1148"/>
  <c r="L1149"/>
  <c r="L1150"/>
  <c r="L1151"/>
  <c r="L1157"/>
  <c r="L1158"/>
  <c r="L1160"/>
  <c r="L1161"/>
  <c r="L1162"/>
  <c r="J1163"/>
  <c r="L1166"/>
  <c r="L1167"/>
  <c r="L1168"/>
  <c r="L1169"/>
  <c r="L1171"/>
  <c r="L1172"/>
  <c r="L1182"/>
  <c r="L1184"/>
  <c r="L1185"/>
  <c r="L1190"/>
  <c r="L1196"/>
  <c r="L1202"/>
  <c r="L1208"/>
  <c r="L1207" s="1"/>
  <c r="L1206" s="1"/>
  <c r="L1205" s="1"/>
  <c r="L1204" s="1"/>
  <c r="L1235"/>
  <c r="L1240"/>
  <c r="L1239" s="1"/>
  <c r="L1251"/>
  <c r="J1252"/>
  <c r="L1248"/>
  <c r="L1245"/>
  <c r="L1246"/>
  <c r="J1257"/>
  <c r="L1257" s="1"/>
  <c r="L1259"/>
  <c r="L1261"/>
  <c r="L1262"/>
  <c r="L1265"/>
  <c r="L1266"/>
  <c r="L1268"/>
  <c r="L1271"/>
  <c r="L1272"/>
  <c r="L1275"/>
  <c r="L1289"/>
  <c r="L1291"/>
  <c r="L1295"/>
  <c r="L1297"/>
  <c r="L1299"/>
  <c r="L1301"/>
  <c r="L1307"/>
  <c r="L1309"/>
  <c r="L1311"/>
  <c r="L1312"/>
  <c r="L1313"/>
  <c r="L1316"/>
  <c r="L1322"/>
  <c r="L1323"/>
  <c r="L1325"/>
  <c r="L1330"/>
  <c r="L1347"/>
  <c r="L1348"/>
  <c r="L1360"/>
  <c r="L1365"/>
  <c r="L1367"/>
  <c r="L1363"/>
  <c r="L1371"/>
  <c r="L1372"/>
  <c r="L1374"/>
  <c r="L1375"/>
  <c r="L1338"/>
  <c r="L1383"/>
  <c r="J1388"/>
  <c r="L1388" s="1"/>
  <c r="L1390"/>
  <c r="L1397"/>
  <c r="L1398"/>
  <c r="L1399"/>
  <c r="L1400"/>
  <c r="L1401"/>
  <c r="L1404"/>
  <c r="L1405"/>
  <c r="L1408"/>
  <c r="L1409"/>
  <c r="L1410"/>
  <c r="L1411"/>
  <c r="L1407"/>
  <c r="L1416"/>
  <c r="L1422"/>
  <c r="L1428"/>
  <c r="L1430"/>
  <c r="L1432"/>
  <c r="L1433"/>
  <c r="J1436"/>
  <c r="L1436" s="1"/>
  <c r="L1444"/>
  <c r="J1441"/>
  <c r="L1447"/>
  <c r="L1450"/>
  <c r="L1458"/>
  <c r="L1474"/>
  <c r="L1495"/>
  <c r="L1498"/>
  <c r="L1504"/>
  <c r="L1505"/>
  <c r="L1506"/>
  <c r="L1508"/>
  <c r="L1514"/>
  <c r="L1517"/>
  <c r="L1518"/>
  <c r="L1521"/>
  <c r="L1522"/>
  <c r="L1533"/>
  <c r="L1546"/>
  <c r="L1547"/>
  <c r="L1548"/>
  <c r="L1549"/>
  <c r="L1552"/>
  <c r="L1550"/>
  <c r="L1555"/>
  <c r="L1561"/>
  <c r="L1562"/>
  <c r="L1567"/>
  <c r="L1568"/>
  <c r="L1569"/>
  <c r="L1570"/>
  <c r="L1571"/>
  <c r="L1572"/>
  <c r="L1574"/>
  <c r="L1575"/>
  <c r="L1583"/>
  <c r="L1584"/>
  <c r="L1585"/>
  <c r="L1587"/>
  <c r="L1589"/>
  <c r="L1593"/>
  <c r="L1594"/>
  <c r="L1595"/>
  <c r="L1597"/>
  <c r="L1598"/>
  <c r="L1596"/>
  <c r="L1603"/>
  <c r="L1604"/>
  <c r="L1622"/>
  <c r="L1623"/>
  <c r="L1625"/>
  <c r="L1624"/>
  <c r="L1627"/>
  <c r="L1630"/>
  <c r="L1632"/>
  <c r="L1633"/>
  <c r="L1634"/>
  <c r="L1637"/>
  <c r="L1638"/>
  <c r="J1636"/>
  <c r="L1636" s="1"/>
  <c r="L1659"/>
  <c r="L1660"/>
  <c r="L1663"/>
  <c r="L1664"/>
  <c r="L1665"/>
  <c r="L1668"/>
  <c r="L1653"/>
  <c r="L1612"/>
  <c r="L1615"/>
  <c r="L1684"/>
  <c r="L1689"/>
  <c r="J1678"/>
  <c r="L1678" s="1"/>
  <c r="L1695"/>
  <c r="L1703"/>
  <c r="L1707"/>
  <c r="L1708"/>
  <c r="L1711"/>
  <c r="L1712"/>
  <c r="L1717"/>
  <c r="L1718"/>
  <c r="L1719"/>
  <c r="L1720"/>
  <c r="L1731"/>
  <c r="L1739"/>
  <c r="L1742"/>
  <c r="L1744"/>
  <c r="L1743"/>
  <c r="L1754"/>
  <c r="L1755"/>
  <c r="L1761"/>
  <c r="L1762"/>
  <c r="L1763"/>
  <c r="L1764"/>
  <c r="L1765"/>
  <c r="L1766"/>
  <c r="L1769"/>
  <c r="L1774"/>
  <c r="L1775"/>
  <c r="L1781"/>
  <c r="L1792"/>
  <c r="L1796"/>
  <c r="L1801"/>
  <c r="L1802"/>
  <c r="L1803"/>
  <c r="L1808"/>
  <c r="L1809"/>
  <c r="L1812"/>
  <c r="L1811"/>
  <c r="L1818"/>
  <c r="L1819"/>
  <c r="L1820"/>
  <c r="L1828"/>
  <c r="L1829"/>
  <c r="L1831"/>
  <c r="L1832"/>
  <c r="J1837"/>
  <c r="L1837" s="1"/>
  <c r="L1835"/>
  <c r="L1840"/>
  <c r="L1844"/>
  <c r="L1846"/>
  <c r="L1849"/>
  <c r="L1850"/>
  <c r="L1848"/>
  <c r="J1852"/>
  <c r="L1852" s="1"/>
  <c r="L1855"/>
  <c r="L1857"/>
  <c r="L1856"/>
  <c r="L1863"/>
  <c r="J1874"/>
  <c r="L1874" s="1"/>
  <c r="L1882"/>
  <c r="L1884"/>
  <c r="L1885"/>
  <c r="L1896"/>
  <c r="L1897"/>
  <c r="L1900"/>
  <c r="L1902"/>
  <c r="L1901"/>
  <c r="L1907"/>
  <c r="L1908"/>
  <c r="L1924"/>
  <c r="L1925"/>
  <c r="L1927"/>
  <c r="L1928"/>
  <c r="L1934"/>
  <c r="L1935"/>
  <c r="L1937"/>
  <c r="L1938"/>
  <c r="L1941"/>
  <c r="L1945"/>
  <c r="L1950"/>
  <c r="L1953"/>
  <c r="L1955"/>
  <c r="L1958"/>
  <c r="M12"/>
  <c r="M23"/>
  <c r="M22" s="1"/>
  <c r="M45"/>
  <c r="M28"/>
  <c r="M129"/>
  <c r="M111" s="1"/>
  <c r="M108"/>
  <c r="M141"/>
  <c r="M165"/>
  <c r="M164" s="1"/>
  <c r="M170"/>
  <c r="M176"/>
  <c r="M249"/>
  <c r="M248" s="1"/>
  <c r="M247" s="1"/>
  <c r="M253"/>
  <c r="M252" s="1"/>
  <c r="M261"/>
  <c r="M260" s="1"/>
  <c r="M272"/>
  <c r="M267" s="1"/>
  <c r="M266" s="1"/>
  <c r="M290"/>
  <c r="M284" s="1"/>
  <c r="M319"/>
  <c r="M325"/>
  <c r="M336"/>
  <c r="M339"/>
  <c r="M346"/>
  <c r="M345" s="1"/>
  <c r="M344" s="1"/>
  <c r="M352"/>
  <c r="M360"/>
  <c r="M368"/>
  <c r="M367" s="1"/>
  <c r="M377"/>
  <c r="M376" s="1"/>
  <c r="M410"/>
  <c r="M425"/>
  <c r="M445"/>
  <c r="M404"/>
  <c r="M389"/>
  <c r="M449"/>
  <c r="M454"/>
  <c r="M496"/>
  <c r="M492" s="1"/>
  <c r="M510"/>
  <c r="M518"/>
  <c r="M526"/>
  <c r="M555"/>
  <c r="M558"/>
  <c r="M582"/>
  <c r="M573" s="1"/>
  <c r="M563" s="1"/>
  <c r="M602"/>
  <c r="M601" s="1"/>
  <c r="M598"/>
  <c r="M619"/>
  <c r="M627"/>
  <c r="M634"/>
  <c r="M633" s="1"/>
  <c r="M758"/>
  <c r="M685" s="1"/>
  <c r="M684" s="1"/>
  <c r="M772"/>
  <c r="M771" s="1"/>
  <c r="M767" s="1"/>
  <c r="M766" s="1"/>
  <c r="M789"/>
  <c r="M788" s="1"/>
  <c r="M784" s="1"/>
  <c r="M775" s="1"/>
  <c r="M797"/>
  <c r="M793" s="1"/>
  <c r="M792" s="1"/>
  <c r="M804"/>
  <c r="M803" s="1"/>
  <c r="M815"/>
  <c r="M814" s="1"/>
  <c r="M824"/>
  <c r="M823" s="1"/>
  <c r="M837"/>
  <c r="M833" s="1"/>
  <c r="M846"/>
  <c r="M845" s="1"/>
  <c r="M841" s="1"/>
  <c r="M850"/>
  <c r="M856"/>
  <c r="M855" s="1"/>
  <c r="M854" s="1"/>
  <c r="M862"/>
  <c r="M861" s="1"/>
  <c r="M865"/>
  <c r="M872"/>
  <c r="M871" s="1"/>
  <c r="M877"/>
  <c r="M876" s="1"/>
  <c r="M891"/>
  <c r="M890" s="1"/>
  <c r="M889" s="1"/>
  <c r="M907"/>
  <c r="M898" s="1"/>
  <c r="M912"/>
  <c r="M911" s="1"/>
  <c r="M916"/>
  <c r="M928"/>
  <c r="M949"/>
  <c r="M944" s="1"/>
  <c r="M967"/>
  <c r="M966" s="1"/>
  <c r="M963"/>
  <c r="M959" s="1"/>
  <c r="M973"/>
  <c r="M972" s="1"/>
  <c r="M971" s="1"/>
  <c r="M981"/>
  <c r="M978" s="1"/>
  <c r="M977" s="1"/>
  <c r="M976" s="1"/>
  <c r="M1010"/>
  <c r="M1009" s="1"/>
  <c r="M1015"/>
  <c r="M1014" s="1"/>
  <c r="M1013" s="1"/>
  <c r="M1020"/>
  <c r="M1019" s="1"/>
  <c r="M1018" s="1"/>
  <c r="M1031"/>
  <c r="M1030" s="1"/>
  <c r="M1037"/>
  <c r="M1036" s="1"/>
  <c r="M1035" s="1"/>
  <c r="M1041"/>
  <c r="M1059"/>
  <c r="M1077"/>
  <c r="M1062" s="1"/>
  <c r="M1082"/>
  <c r="M1081" s="1"/>
  <c r="M1080" s="1"/>
  <c r="M1086"/>
  <c r="M1110"/>
  <c r="M1103" s="1"/>
  <c r="M1100"/>
  <c r="M1128"/>
  <c r="M1127" s="1"/>
  <c r="M1126" s="1"/>
  <c r="M1125" s="1"/>
  <c r="M1121"/>
  <c r="M1118" s="1"/>
  <c r="M1117" s="1"/>
  <c r="M1133"/>
  <c r="M1132" s="1"/>
  <c r="M1131" s="1"/>
  <c r="M1144"/>
  <c r="M1143" s="1"/>
  <c r="M1142" s="1"/>
  <c r="M1180"/>
  <c r="M1179" s="1"/>
  <c r="M1178" s="1"/>
  <c r="M1188"/>
  <c r="M1187" s="1"/>
  <c r="M1186" s="1"/>
  <c r="M1194"/>
  <c r="M1193" s="1"/>
  <c r="M1192" s="1"/>
  <c r="M1191" s="1"/>
  <c r="M1199"/>
  <c r="M1198" s="1"/>
  <c r="M1206"/>
  <c r="M1205" s="1"/>
  <c r="M1204" s="1"/>
  <c r="M1255"/>
  <c r="M1267"/>
  <c r="M1281"/>
  <c r="M1341"/>
  <c r="M1340" s="1"/>
  <c r="M1331"/>
  <c r="M1381"/>
  <c r="M1380" s="1"/>
  <c r="M1385"/>
  <c r="M1384" s="1"/>
  <c r="M1394"/>
  <c r="M1402"/>
  <c r="M1414"/>
  <c r="M1413" s="1"/>
  <c r="M1412" s="1"/>
  <c r="M1420"/>
  <c r="M1419" s="1"/>
  <c r="M1418" s="1"/>
  <c r="M1417" s="1"/>
  <c r="M1426"/>
  <c r="M1434"/>
  <c r="M1442"/>
  <c r="M1439" s="1"/>
  <c r="M1448"/>
  <c r="M1456"/>
  <c r="M1452" s="1"/>
  <c r="M1451" s="1"/>
  <c r="M1462"/>
  <c r="M1461" s="1"/>
  <c r="M1493"/>
  <c r="M1489" s="1"/>
  <c r="M1510"/>
  <c r="M1516"/>
  <c r="M1515" s="1"/>
  <c r="M1526"/>
  <c r="M1525" s="1"/>
  <c r="M1524" s="1"/>
  <c r="M1523" s="1"/>
  <c r="M1545"/>
  <c r="M1544" s="1"/>
  <c r="M1553"/>
  <c r="M1559"/>
  <c r="M1558" s="1"/>
  <c r="M1557" s="1"/>
  <c r="M1564"/>
  <c r="M1563" s="1"/>
  <c r="M1580"/>
  <c r="M1591"/>
  <c r="M1590" s="1"/>
  <c r="M1601"/>
  <c r="M1600" s="1"/>
  <c r="M1599" s="1"/>
  <c r="M1618"/>
  <c r="M1617" s="1"/>
  <c r="M1631"/>
  <c r="M1628" s="1"/>
  <c r="M1608"/>
  <c r="M1607" s="1"/>
  <c r="M1681"/>
  <c r="M1680" s="1"/>
  <c r="M1679" s="1"/>
  <c r="M1687"/>
  <c r="M1686" s="1"/>
  <c r="M1685" s="1"/>
  <c r="M1676"/>
  <c r="M1675" s="1"/>
  <c r="M1674" s="1"/>
  <c r="M1693"/>
  <c r="M1701"/>
  <c r="M1697" s="1"/>
  <c r="M1705"/>
  <c r="M1713"/>
  <c r="M1729"/>
  <c r="M1738"/>
  <c r="M1737" s="1"/>
  <c r="M1724"/>
  <c r="M1752"/>
  <c r="M1747" s="1"/>
  <c r="M1746" s="1"/>
  <c r="M1745" s="1"/>
  <c r="M1759"/>
  <c r="M1767"/>
  <c r="M1772"/>
  <c r="M1771" s="1"/>
  <c r="M1770" s="1"/>
  <c r="M1779"/>
  <c r="M1778" s="1"/>
  <c r="M1777" s="1"/>
  <c r="M1786"/>
  <c r="M1783" s="1"/>
  <c r="M1798"/>
  <c r="M1797" s="1"/>
  <c r="M1807"/>
  <c r="M1806" s="1"/>
  <c r="M1805" s="1"/>
  <c r="M1817"/>
  <c r="M1816" s="1"/>
  <c r="M1815" s="1"/>
  <c r="M1814" s="1"/>
  <c r="M1825"/>
  <c r="M1834"/>
  <c r="M1833" s="1"/>
  <c r="M1838"/>
  <c r="M1841"/>
  <c r="M1860"/>
  <c r="M1859" s="1"/>
  <c r="M1858" s="1"/>
  <c r="M1873"/>
  <c r="M1872" s="1"/>
  <c r="M1871" s="1"/>
  <c r="M1870" s="1"/>
  <c r="M1864" s="1"/>
  <c r="M1878"/>
  <c r="M1877" s="1"/>
  <c r="M1876" s="1"/>
  <c r="M1905"/>
  <c r="M1904" s="1"/>
  <c r="M1903" s="1"/>
  <c r="M1921"/>
  <c r="M1920" s="1"/>
  <c r="M1919" s="1"/>
  <c r="M1918" s="1"/>
  <c r="M1932"/>
  <c r="M1939"/>
  <c r="M1943"/>
  <c r="M1942" s="1"/>
  <c r="M1948"/>
  <c r="M1956"/>
  <c r="L257"/>
  <c r="L254" s="1"/>
  <c r="L253" s="1"/>
  <c r="L252" s="1"/>
  <c r="K248"/>
  <c r="K247" s="1"/>
  <c r="K253"/>
  <c r="K252" s="1"/>
  <c r="J248"/>
  <c r="J247" s="1"/>
  <c r="J253"/>
  <c r="J252" s="1"/>
  <c r="I248"/>
  <c r="I247" s="1"/>
  <c r="I253"/>
  <c r="I252" s="1"/>
  <c r="K142"/>
  <c r="K141" s="1"/>
  <c r="J142"/>
  <c r="J141" s="1"/>
  <c r="I141"/>
  <c r="L445"/>
  <c r="L537"/>
  <c r="L536" s="1"/>
  <c r="L535" s="1"/>
  <c r="L526"/>
  <c r="L583"/>
  <c r="L590"/>
  <c r="L612"/>
  <c r="L100"/>
  <c r="K108"/>
  <c r="K90" s="1"/>
  <c r="J127"/>
  <c r="J108"/>
  <c r="I108"/>
  <c r="I90" s="1"/>
  <c r="K352"/>
  <c r="K360"/>
  <c r="J352"/>
  <c r="J360"/>
  <c r="I352"/>
  <c r="I351" s="1"/>
  <c r="I350" s="1"/>
  <c r="I349" s="1"/>
  <c r="K346"/>
  <c r="K345" s="1"/>
  <c r="K344" s="1"/>
  <c r="J346"/>
  <c r="J345" s="1"/>
  <c r="J344" s="1"/>
  <c r="I346"/>
  <c r="I345" s="1"/>
  <c r="I344" s="1"/>
  <c r="L217"/>
  <c r="L243"/>
  <c r="K171"/>
  <c r="K170" s="1"/>
  <c r="K176"/>
  <c r="K227"/>
  <c r="K226" s="1"/>
  <c r="K193" s="1"/>
  <c r="K233"/>
  <c r="K230" s="1"/>
  <c r="K185"/>
  <c r="K272"/>
  <c r="K267" s="1"/>
  <c r="K266" s="1"/>
  <c r="I272"/>
  <c r="I267" s="1"/>
  <c r="I266" s="1"/>
  <c r="H108"/>
  <c r="K377"/>
  <c r="K376" s="1"/>
  <c r="J377"/>
  <c r="J376" s="1"/>
  <c r="J366" s="1"/>
  <c r="I377"/>
  <c r="I376" s="1"/>
  <c r="I366" s="1"/>
  <c r="K28"/>
  <c r="J28"/>
  <c r="I28"/>
  <c r="H28"/>
  <c r="I325"/>
  <c r="I339"/>
  <c r="K340"/>
  <c r="K339" s="1"/>
  <c r="J339"/>
  <c r="I1870"/>
  <c r="I1864" s="1"/>
  <c r="H1870"/>
  <c r="L166"/>
  <c r="L165" s="1"/>
  <c r="L164" s="1"/>
  <c r="K166"/>
  <c r="K165" s="1"/>
  <c r="K164" s="1"/>
  <c r="J165"/>
  <c r="J164" s="1"/>
  <c r="I165"/>
  <c r="I164" s="1"/>
  <c r="J233"/>
  <c r="J230" s="1"/>
  <c r="I230"/>
  <c r="J585"/>
  <c r="J582" s="1"/>
  <c r="J573" s="1"/>
  <c r="J563" s="1"/>
  <c r="I582"/>
  <c r="I573" s="1"/>
  <c r="I563" s="1"/>
  <c r="L620"/>
  <c r="L619" s="1"/>
  <c r="K619"/>
  <c r="K618" s="1"/>
  <c r="K617" s="1"/>
  <c r="K616" s="1"/>
  <c r="J619"/>
  <c r="J618" s="1"/>
  <c r="J617" s="1"/>
  <c r="J616" s="1"/>
  <c r="I619"/>
  <c r="I618" s="1"/>
  <c r="I617" s="1"/>
  <c r="I616" s="1"/>
  <c r="J176"/>
  <c r="I176"/>
  <c r="K585"/>
  <c r="K582" s="1"/>
  <c r="K573" s="1"/>
  <c r="K563" s="1"/>
  <c r="I1493"/>
  <c r="I1489" s="1"/>
  <c r="I1510"/>
  <c r="I1515"/>
  <c r="K161"/>
  <c r="K160" s="1"/>
  <c r="K157" s="1"/>
  <c r="K153" s="1"/>
  <c r="J161"/>
  <c r="J160" s="1"/>
  <c r="J157" s="1"/>
  <c r="J153" s="1"/>
  <c r="I160"/>
  <c r="I157" s="1"/>
  <c r="I153" s="1"/>
  <c r="J325"/>
  <c r="L337"/>
  <c r="L336" s="1"/>
  <c r="K1871"/>
  <c r="K1870" s="1"/>
  <c r="K1864" s="1"/>
  <c r="I226"/>
  <c r="I193" s="1"/>
  <c r="K12"/>
  <c r="K23"/>
  <c r="K22" s="1"/>
  <c r="J12"/>
  <c r="J23"/>
  <c r="J22" s="1"/>
  <c r="I23"/>
  <c r="I22" s="1"/>
  <c r="H23"/>
  <c r="I45"/>
  <c r="K46"/>
  <c r="K45" s="1"/>
  <c r="J170"/>
  <c r="J226"/>
  <c r="J185"/>
  <c r="I170"/>
  <c r="I185"/>
  <c r="K1144"/>
  <c r="K1143" s="1"/>
  <c r="K1142" s="1"/>
  <c r="K1181"/>
  <c r="K1180" s="1"/>
  <c r="K1179" s="1"/>
  <c r="K1178" s="1"/>
  <c r="K1188"/>
  <c r="K1187" s="1"/>
  <c r="K1186" s="1"/>
  <c r="K1194"/>
  <c r="K1193" s="1"/>
  <c r="K1192" s="1"/>
  <c r="K1191" s="1"/>
  <c r="J1144"/>
  <c r="J1180"/>
  <c r="J1179" s="1"/>
  <c r="J1178" s="1"/>
  <c r="J1188"/>
  <c r="J1187" s="1"/>
  <c r="J1186" s="1"/>
  <c r="J1194"/>
  <c r="J1193" s="1"/>
  <c r="J1192" s="1"/>
  <c r="J1191" s="1"/>
  <c r="I1144"/>
  <c r="I1143" s="1"/>
  <c r="I1142" s="1"/>
  <c r="I1180"/>
  <c r="I1179" s="1"/>
  <c r="I1178" s="1"/>
  <c r="I1188"/>
  <c r="I1187" s="1"/>
  <c r="I1186" s="1"/>
  <c r="I1194"/>
  <c r="I1193" s="1"/>
  <c r="I1192" s="1"/>
  <c r="I1191" s="1"/>
  <c r="L795"/>
  <c r="K797"/>
  <c r="K793" s="1"/>
  <c r="K792" s="1"/>
  <c r="J797"/>
  <c r="J793" s="1"/>
  <c r="J792" s="1"/>
  <c r="I797"/>
  <c r="I793" s="1"/>
  <c r="I792" s="1"/>
  <c r="K415"/>
  <c r="K411" s="1"/>
  <c r="K410" s="1"/>
  <c r="J411"/>
  <c r="J410" s="1"/>
  <c r="L952"/>
  <c r="K949"/>
  <c r="K952"/>
  <c r="J949"/>
  <c r="J944" s="1"/>
  <c r="J940" s="1"/>
  <c r="I1456"/>
  <c r="I1452" s="1"/>
  <c r="I1451" s="1"/>
  <c r="H1452"/>
  <c r="H1451" s="1"/>
  <c r="H1456"/>
  <c r="K1493"/>
  <c r="K1489" s="1"/>
  <c r="K1502"/>
  <c r="K1511"/>
  <c r="K1510" s="1"/>
  <c r="K1515"/>
  <c r="J1493"/>
  <c r="J1489" s="1"/>
  <c r="J1502"/>
  <c r="J1510"/>
  <c r="J1515"/>
  <c r="I12"/>
  <c r="L1200"/>
  <c r="L1199" s="1"/>
  <c r="L1198" s="1"/>
  <c r="L1234"/>
  <c r="L1314"/>
  <c r="K1199"/>
  <c r="K1198" s="1"/>
  <c r="K1206"/>
  <c r="K1205" s="1"/>
  <c r="K1204" s="1"/>
  <c r="K1255"/>
  <c r="K1274"/>
  <c r="K1306"/>
  <c r="K1284" s="1"/>
  <c r="K1328"/>
  <c r="K1342"/>
  <c r="K1341" s="1"/>
  <c r="K1368"/>
  <c r="K1331"/>
  <c r="K1381"/>
  <c r="K1380" s="1"/>
  <c r="K1386"/>
  <c r="K1385" s="1"/>
  <c r="K1384" s="1"/>
  <c r="J1199"/>
  <c r="J1198" s="1"/>
  <c r="J1206"/>
  <c r="J1205" s="1"/>
  <c r="J1204" s="1"/>
  <c r="J1328"/>
  <c r="J1281" s="1"/>
  <c r="J1341"/>
  <c r="J1368"/>
  <c r="J1331"/>
  <c r="J1381"/>
  <c r="J1380" s="1"/>
  <c r="I1199"/>
  <c r="I1198" s="1"/>
  <c r="I1206"/>
  <c r="I1205" s="1"/>
  <c r="I1204" s="1"/>
  <c r="I1254"/>
  <c r="I1253" s="1"/>
  <c r="I1209" s="1"/>
  <c r="I1328"/>
  <c r="I1281" s="1"/>
  <c r="I1341"/>
  <c r="I1340" s="1"/>
  <c r="I1381"/>
  <c r="I1380" s="1"/>
  <c r="I1386"/>
  <c r="I1385" s="1"/>
  <c r="I1384" s="1"/>
  <c r="I967"/>
  <c r="I966" s="1"/>
  <c r="I958" s="1"/>
  <c r="H185"/>
  <c r="K325"/>
  <c r="K261"/>
  <c r="K260" s="1"/>
  <c r="I261"/>
  <c r="I260" s="1"/>
  <c r="I411"/>
  <c r="I410" s="1"/>
  <c r="I386" s="1"/>
  <c r="I449"/>
  <c r="I448" s="1"/>
  <c r="I496"/>
  <c r="I492" s="1"/>
  <c r="I510"/>
  <c r="I518"/>
  <c r="I555"/>
  <c r="I554" s="1"/>
  <c r="I553" s="1"/>
  <c r="I602"/>
  <c r="I601" s="1"/>
  <c r="I598"/>
  <c r="K367"/>
  <c r="K425"/>
  <c r="K424" s="1"/>
  <c r="K389"/>
  <c r="K449"/>
  <c r="K455"/>
  <c r="K458"/>
  <c r="K475"/>
  <c r="K470" s="1"/>
  <c r="K461" s="1"/>
  <c r="K496"/>
  <c r="K492" s="1"/>
  <c r="K510"/>
  <c r="K519"/>
  <c r="K518" s="1"/>
  <c r="K540"/>
  <c r="K543"/>
  <c r="K526"/>
  <c r="J389"/>
  <c r="K845"/>
  <c r="J845"/>
  <c r="I845"/>
  <c r="K850"/>
  <c r="J850"/>
  <c r="I850"/>
  <c r="K967"/>
  <c r="K966" s="1"/>
  <c r="J967"/>
  <c r="J966" s="1"/>
  <c r="K981"/>
  <c r="K978" s="1"/>
  <c r="K977" s="1"/>
  <c r="K976" s="1"/>
  <c r="J978"/>
  <c r="J977" s="1"/>
  <c r="J976" s="1"/>
  <c r="I978"/>
  <c r="I977" s="1"/>
  <c r="I976" s="1"/>
  <c r="K1122"/>
  <c r="K1121" s="1"/>
  <c r="K1118" s="1"/>
  <c r="K1117" s="1"/>
  <c r="J1123"/>
  <c r="J1122" s="1"/>
  <c r="J1121" s="1"/>
  <c r="J1118" s="1"/>
  <c r="J1117" s="1"/>
  <c r="I1122"/>
  <c r="I1121" s="1"/>
  <c r="I1118" s="1"/>
  <c r="I1117" s="1"/>
  <c r="H1118"/>
  <c r="H1117" s="1"/>
  <c r="K556"/>
  <c r="K555" s="1"/>
  <c r="K554" s="1"/>
  <c r="K553" s="1"/>
  <c r="K602"/>
  <c r="K601" s="1"/>
  <c r="K598"/>
  <c r="J449"/>
  <c r="J455"/>
  <c r="J454" s="1"/>
  <c r="J496"/>
  <c r="J492" s="1"/>
  <c r="J510"/>
  <c r="J518"/>
  <c r="J543"/>
  <c r="J539" s="1"/>
  <c r="J526"/>
  <c r="J555"/>
  <c r="J554" s="1"/>
  <c r="J553" s="1"/>
  <c r="J598"/>
  <c r="K1132"/>
  <c r="K1131" s="1"/>
  <c r="J1132"/>
  <c r="J1131" s="1"/>
  <c r="I1132"/>
  <c r="I1131" s="1"/>
  <c r="K1037"/>
  <c r="K1036" s="1"/>
  <c r="K1035" s="1"/>
  <c r="J1037"/>
  <c r="J1036" s="1"/>
  <c r="J1035" s="1"/>
  <c r="I1037"/>
  <c r="I1036" s="1"/>
  <c r="I1035" s="1"/>
  <c r="K872"/>
  <c r="K871" s="1"/>
  <c r="J872"/>
  <c r="J871" s="1"/>
  <c r="I872"/>
  <c r="I871" s="1"/>
  <c r="K1019"/>
  <c r="K1018" s="1"/>
  <c r="J1019"/>
  <c r="J1018" s="1"/>
  <c r="I1019"/>
  <c r="I1018" s="1"/>
  <c r="K865"/>
  <c r="J865"/>
  <c r="I865"/>
  <c r="J1456"/>
  <c r="J1452" s="1"/>
  <c r="J1451" s="1"/>
  <c r="K1128"/>
  <c r="K1127" s="1"/>
  <c r="K1126" s="1"/>
  <c r="K1125" s="1"/>
  <c r="J1128"/>
  <c r="J1127" s="1"/>
  <c r="J1126" s="1"/>
  <c r="J1125" s="1"/>
  <c r="I1128"/>
  <c r="I1127" s="1"/>
  <c r="I1126" s="1"/>
  <c r="I1125" s="1"/>
  <c r="K912"/>
  <c r="K911" s="1"/>
  <c r="J912"/>
  <c r="J911" s="1"/>
  <c r="I912"/>
  <c r="I911" s="1"/>
  <c r="K1752"/>
  <c r="K1747" s="1"/>
  <c r="K1746" s="1"/>
  <c r="K1745" s="1"/>
  <c r="J1752"/>
  <c r="J1747" s="1"/>
  <c r="J1746" s="1"/>
  <c r="J1745" s="1"/>
  <c r="I1752"/>
  <c r="I1747" s="1"/>
  <c r="I1746" s="1"/>
  <c r="I1745" s="1"/>
  <c r="L1108"/>
  <c r="K1113"/>
  <c r="K1110"/>
  <c r="K1100"/>
  <c r="J1110"/>
  <c r="J1103" s="1"/>
  <c r="J1100"/>
  <c r="I1110"/>
  <c r="I1103" s="1"/>
  <c r="I1097" s="1"/>
  <c r="I685"/>
  <c r="K1619"/>
  <c r="K1618" s="1"/>
  <c r="K1617" s="1"/>
  <c r="K1631"/>
  <c r="K1628" s="1"/>
  <c r="K1639"/>
  <c r="K1681"/>
  <c r="K1680" s="1"/>
  <c r="K1679" s="1"/>
  <c r="K1687"/>
  <c r="K1686" s="1"/>
  <c r="K1685" s="1"/>
  <c r="K1676"/>
  <c r="K1675" s="1"/>
  <c r="K1674" s="1"/>
  <c r="J1617"/>
  <c r="J1639"/>
  <c r="J1681"/>
  <c r="J1680" s="1"/>
  <c r="J1679" s="1"/>
  <c r="J1687"/>
  <c r="J1686" s="1"/>
  <c r="J1685" s="1"/>
  <c r="I1617"/>
  <c r="I1628"/>
  <c r="I1639"/>
  <c r="I1681"/>
  <c r="I1680" s="1"/>
  <c r="I1679" s="1"/>
  <c r="I1687"/>
  <c r="I1686" s="1"/>
  <c r="I1685" s="1"/>
  <c r="I1676"/>
  <c r="I1675" s="1"/>
  <c r="I1674" s="1"/>
  <c r="K1395"/>
  <c r="K1394" s="1"/>
  <c r="K1403"/>
  <c r="K1402" s="1"/>
  <c r="K1414"/>
  <c r="K1413" s="1"/>
  <c r="K1412" s="1"/>
  <c r="K1420"/>
  <c r="K1419" s="1"/>
  <c r="K1418" s="1"/>
  <c r="K1417" s="1"/>
  <c r="K1456"/>
  <c r="K1452" s="1"/>
  <c r="K1451" s="1"/>
  <c r="J1705"/>
  <c r="J1713"/>
  <c r="I1705"/>
  <c r="I1713"/>
  <c r="J1420"/>
  <c r="J1419" s="1"/>
  <c r="J1418" s="1"/>
  <c r="J1417" s="1"/>
  <c r="I1420"/>
  <c r="I1419" s="1"/>
  <c r="I1418" s="1"/>
  <c r="I1417" s="1"/>
  <c r="L1780"/>
  <c r="L1779" s="1"/>
  <c r="L1778" s="1"/>
  <c r="L1777" s="1"/>
  <c r="K1779"/>
  <c r="K1778" s="1"/>
  <c r="K1777" s="1"/>
  <c r="K1786"/>
  <c r="K1783" s="1"/>
  <c r="K1799"/>
  <c r="K1798" s="1"/>
  <c r="K1797" s="1"/>
  <c r="K1806"/>
  <c r="K1805" s="1"/>
  <c r="K1816"/>
  <c r="K1815" s="1"/>
  <c r="K1814" s="1"/>
  <c r="H598"/>
  <c r="K1052"/>
  <c r="J1052"/>
  <c r="I1052"/>
  <c r="K1580"/>
  <c r="K1590"/>
  <c r="K1601"/>
  <c r="K1600" s="1"/>
  <c r="K1599" s="1"/>
  <c r="J1580"/>
  <c r="J1590"/>
  <c r="J1601"/>
  <c r="J1600" s="1"/>
  <c r="J1599" s="1"/>
  <c r="I1580"/>
  <c r="I1590"/>
  <c r="I1601"/>
  <c r="I1600" s="1"/>
  <c r="I1599" s="1"/>
  <c r="L857"/>
  <c r="L856" s="1"/>
  <c r="L855" s="1"/>
  <c r="L854" s="1"/>
  <c r="K856"/>
  <c r="K855" s="1"/>
  <c r="K854" s="1"/>
  <c r="J856"/>
  <c r="J855" s="1"/>
  <c r="J854" s="1"/>
  <c r="I856"/>
  <c r="I855" s="1"/>
  <c r="I854" s="1"/>
  <c r="K1558"/>
  <c r="K1557" s="1"/>
  <c r="J1558"/>
  <c r="J1557" s="1"/>
  <c r="I1558"/>
  <c r="I1557" s="1"/>
  <c r="H1676"/>
  <c r="H1675" s="1"/>
  <c r="H1674" s="1"/>
  <c r="K1905"/>
  <c r="K1904" s="1"/>
  <c r="K1903" s="1"/>
  <c r="J1905"/>
  <c r="J1904" s="1"/>
  <c r="J1903" s="1"/>
  <c r="I1905"/>
  <c r="I1904" s="1"/>
  <c r="I1903" s="1"/>
  <c r="K1544"/>
  <c r="K1553"/>
  <c r="K1015"/>
  <c r="K1014" s="1"/>
  <c r="K1013" s="1"/>
  <c r="J1015"/>
  <c r="J1014" s="1"/>
  <c r="J1013" s="1"/>
  <c r="I1015"/>
  <c r="I1014" s="1"/>
  <c r="I1013" s="1"/>
  <c r="H1015"/>
  <c r="H1013" s="1"/>
  <c r="K1566"/>
  <c r="K1565" s="1"/>
  <c r="K1564" s="1"/>
  <c r="K1563" s="1"/>
  <c r="J1564"/>
  <c r="J1563" s="1"/>
  <c r="I1564"/>
  <c r="I1563" s="1"/>
  <c r="K972"/>
  <c r="K971" s="1"/>
  <c r="I973"/>
  <c r="I972" s="1"/>
  <c r="I971" s="1"/>
  <c r="K1442"/>
  <c r="K1445"/>
  <c r="K1448"/>
  <c r="J1442"/>
  <c r="J1445"/>
  <c r="J1448"/>
  <c r="I1442"/>
  <c r="I1445"/>
  <c r="I1448"/>
  <c r="K752"/>
  <c r="K685" s="1"/>
  <c r="K684" s="1"/>
  <c r="K823"/>
  <c r="J823"/>
  <c r="I823"/>
  <c r="K1771"/>
  <c r="K1770" s="1"/>
  <c r="J1771"/>
  <c r="J1770" s="1"/>
  <c r="I1771"/>
  <c r="I1770" s="1"/>
  <c r="L800"/>
  <c r="H1122"/>
  <c r="H1121" s="1"/>
  <c r="K1041"/>
  <c r="L690"/>
  <c r="I684"/>
  <c r="J633"/>
  <c r="J773"/>
  <c r="J772" s="1"/>
  <c r="J771" s="1"/>
  <c r="J767" s="1"/>
  <c r="J766" s="1"/>
  <c r="J789"/>
  <c r="J788" s="1"/>
  <c r="J784" s="1"/>
  <c r="J775" s="1"/>
  <c r="I633"/>
  <c r="I772"/>
  <c r="I771" s="1"/>
  <c r="I767" s="1"/>
  <c r="I766" s="1"/>
  <c r="I789"/>
  <c r="I788" s="1"/>
  <c r="I784" s="1"/>
  <c r="I775" s="1"/>
  <c r="L666"/>
  <c r="K634"/>
  <c r="K633" s="1"/>
  <c r="K641"/>
  <c r="K772"/>
  <c r="K771" s="1"/>
  <c r="K767" s="1"/>
  <c r="K766" s="1"/>
  <c r="K789"/>
  <c r="K788" s="1"/>
  <c r="K784" s="1"/>
  <c r="K775" s="1"/>
  <c r="L821"/>
  <c r="L815" s="1"/>
  <c r="L814" s="1"/>
  <c r="K804"/>
  <c r="K803" s="1"/>
  <c r="K815"/>
  <c r="K814" s="1"/>
  <c r="K833"/>
  <c r="K842"/>
  <c r="K862"/>
  <c r="K861" s="1"/>
  <c r="K877"/>
  <c r="K876" s="1"/>
  <c r="J804"/>
  <c r="J803" s="1"/>
  <c r="J814"/>
  <c r="J833"/>
  <c r="J842"/>
  <c r="J877"/>
  <c r="J876" s="1"/>
  <c r="I804"/>
  <c r="I803" s="1"/>
  <c r="I814"/>
  <c r="I833"/>
  <c r="I842"/>
  <c r="I862"/>
  <c r="I861" s="1"/>
  <c r="I877"/>
  <c r="I876" s="1"/>
  <c r="L926"/>
  <c r="L925" s="1"/>
  <c r="L964"/>
  <c r="L963" s="1"/>
  <c r="L959" s="1"/>
  <c r="L1011"/>
  <c r="L1010" s="1"/>
  <c r="L1009" s="1"/>
  <c r="K891"/>
  <c r="K890" s="1"/>
  <c r="K889" s="1"/>
  <c r="K907"/>
  <c r="K898" s="1"/>
  <c r="K916"/>
  <c r="K925"/>
  <c r="K963"/>
  <c r="K959" s="1"/>
  <c r="K1009"/>
  <c r="K1032"/>
  <c r="K1031" s="1"/>
  <c r="K1030" s="1"/>
  <c r="K1081"/>
  <c r="K1080" s="1"/>
  <c r="K1094"/>
  <c r="K1091" s="1"/>
  <c r="K1086" s="1"/>
  <c r="J891"/>
  <c r="J907"/>
  <c r="J898" s="1"/>
  <c r="J916"/>
  <c r="J925"/>
  <c r="J963"/>
  <c r="J959" s="1"/>
  <c r="J1009"/>
  <c r="J1031"/>
  <c r="J1030" s="1"/>
  <c r="J1081"/>
  <c r="J1080" s="1"/>
  <c r="J1094"/>
  <c r="J1091" s="1"/>
  <c r="J1086" s="1"/>
  <c r="I891"/>
  <c r="I890" s="1"/>
  <c r="I889" s="1"/>
  <c r="I907"/>
  <c r="I898" s="1"/>
  <c r="I916"/>
  <c r="I915" s="1"/>
  <c r="I949"/>
  <c r="I944" s="1"/>
  <c r="I940" s="1"/>
  <c r="I1009"/>
  <c r="I1031"/>
  <c r="I1030" s="1"/>
  <c r="I1042"/>
  <c r="I1041" s="1"/>
  <c r="I1081"/>
  <c r="I1080" s="1"/>
  <c r="I1094"/>
  <c r="I1091" s="1"/>
  <c r="I1086" s="1"/>
  <c r="J1816"/>
  <c r="J1815" s="1"/>
  <c r="J1814" s="1"/>
  <c r="I1816"/>
  <c r="I1815" s="1"/>
  <c r="I1814" s="1"/>
  <c r="K1713"/>
  <c r="K1860"/>
  <c r="K1859" s="1"/>
  <c r="K1858" s="1"/>
  <c r="J1860"/>
  <c r="J1859" s="1"/>
  <c r="J1858" s="1"/>
  <c r="I1860"/>
  <c r="I1859" s="1"/>
  <c r="I1858" s="1"/>
  <c r="J1414"/>
  <c r="J1413" s="1"/>
  <c r="J1412" s="1"/>
  <c r="I1414"/>
  <c r="I1413" s="1"/>
  <c r="I1412" s="1"/>
  <c r="K1943"/>
  <c r="K1942" s="1"/>
  <c r="J1943"/>
  <c r="J1942" s="1"/>
  <c r="I1943"/>
  <c r="I1942" s="1"/>
  <c r="H1943"/>
  <c r="H1942" s="1"/>
  <c r="H1094"/>
  <c r="H1448"/>
  <c r="J1553"/>
  <c r="J1402"/>
  <c r="I1402"/>
  <c r="H1042"/>
  <c r="H978"/>
  <c r="H977" s="1"/>
  <c r="H1110"/>
  <c r="K1833"/>
  <c r="I1833"/>
  <c r="I1693"/>
  <c r="I1692" s="1"/>
  <c r="I1691" s="1"/>
  <c r="L1435"/>
  <c r="L1434" s="1"/>
  <c r="K1693"/>
  <c r="K1692" s="1"/>
  <c r="K1691" s="1"/>
  <c r="K1922"/>
  <c r="K1921" s="1"/>
  <c r="K1920" s="1"/>
  <c r="K1919" s="1"/>
  <c r="K1918" s="1"/>
  <c r="J1921"/>
  <c r="J1920" s="1"/>
  <c r="J1919" s="1"/>
  <c r="J1918" s="1"/>
  <c r="I1921"/>
  <c r="I1920" s="1"/>
  <c r="I1919" s="1"/>
  <c r="I1918" s="1"/>
  <c r="K1951"/>
  <c r="J1951"/>
  <c r="I1951"/>
  <c r="L1854"/>
  <c r="K1948"/>
  <c r="K1957"/>
  <c r="K1956" s="1"/>
  <c r="J1948"/>
  <c r="J1956"/>
  <c r="I1948"/>
  <c r="I1956"/>
  <c r="K1841"/>
  <c r="I1842"/>
  <c r="I1841" s="1"/>
  <c r="K1473"/>
  <c r="K1472" s="1"/>
  <c r="K1462" s="1"/>
  <c r="K1461" s="1"/>
  <c r="J1435"/>
  <c r="J1434" s="1"/>
  <c r="I1434"/>
  <c r="L1940"/>
  <c r="L1939" s="1"/>
  <c r="K1939"/>
  <c r="J1939"/>
  <c r="I1939"/>
  <c r="K1838"/>
  <c r="J1838"/>
  <c r="I1838"/>
  <c r="K1826"/>
  <c r="K1825" s="1"/>
  <c r="K1527"/>
  <c r="K1526" s="1"/>
  <c r="K1525" s="1"/>
  <c r="K1524" s="1"/>
  <c r="K1523" s="1"/>
  <c r="H1445"/>
  <c r="H1328"/>
  <c r="J1394"/>
  <c r="I1394"/>
  <c r="J1472"/>
  <c r="J1462" s="1"/>
  <c r="J1461" s="1"/>
  <c r="J1544"/>
  <c r="I1544"/>
  <c r="K1706"/>
  <c r="K1705" s="1"/>
  <c r="K1426"/>
  <c r="K1425" s="1"/>
  <c r="K1424" s="1"/>
  <c r="I1426"/>
  <c r="I1461"/>
  <c r="J1426"/>
  <c r="J1526"/>
  <c r="J1525" s="1"/>
  <c r="J1524" s="1"/>
  <c r="J1523" s="1"/>
  <c r="I1526"/>
  <c r="I1525" s="1"/>
  <c r="I1524" s="1"/>
  <c r="I1523" s="1"/>
  <c r="I1737"/>
  <c r="I1736" s="1"/>
  <c r="I1723" s="1"/>
  <c r="K1738"/>
  <c r="K1737" s="1"/>
  <c r="K1736" s="1"/>
  <c r="K1724"/>
  <c r="J1693"/>
  <c r="J1692" s="1"/>
  <c r="J1691" s="1"/>
  <c r="J1737"/>
  <c r="J1736" s="1"/>
  <c r="J1724"/>
  <c r="K1759"/>
  <c r="K1758" s="1"/>
  <c r="K1757" s="1"/>
  <c r="J1759"/>
  <c r="J1758" s="1"/>
  <c r="J1757" s="1"/>
  <c r="I1759"/>
  <c r="I1758" s="1"/>
  <c r="I1757" s="1"/>
  <c r="J1779"/>
  <c r="J1778" s="1"/>
  <c r="J1777" s="1"/>
  <c r="J1786"/>
  <c r="J1783" s="1"/>
  <c r="J1798"/>
  <c r="J1797" s="1"/>
  <c r="J1806"/>
  <c r="J1805" s="1"/>
  <c r="I1779"/>
  <c r="I1778" s="1"/>
  <c r="I1777" s="1"/>
  <c r="I1786"/>
  <c r="I1783" s="1"/>
  <c r="I1798"/>
  <c r="I1797" s="1"/>
  <c r="I1806"/>
  <c r="I1805" s="1"/>
  <c r="J1825"/>
  <c r="I1825"/>
  <c r="K1878"/>
  <c r="K1877" s="1"/>
  <c r="K1876" s="1"/>
  <c r="J1878"/>
  <c r="J1877" s="1"/>
  <c r="J1876" s="1"/>
  <c r="I1878"/>
  <c r="I1877" s="1"/>
  <c r="I1876" s="1"/>
  <c r="K1933"/>
  <c r="K1932" s="1"/>
  <c r="J1932"/>
  <c r="I1932"/>
  <c r="J841" l="1"/>
  <c r="J221"/>
  <c r="L1527"/>
  <c r="L1526" s="1"/>
  <c r="L1525" s="1"/>
  <c r="L1524" s="1"/>
  <c r="L1523" s="1"/>
  <c r="L1427"/>
  <c r="L1426" s="1"/>
  <c r="L1949"/>
  <c r="L1948" s="1"/>
  <c r="J1024"/>
  <c r="L1092"/>
  <c r="L902"/>
  <c r="L879"/>
  <c r="L682"/>
  <c r="L656"/>
  <c r="L694"/>
  <c r="L711"/>
  <c r="L1449"/>
  <c r="L1448" s="1"/>
  <c r="L1588"/>
  <c r="L1078"/>
  <c r="L1077" s="1"/>
  <c r="L1652"/>
  <c r="L1101"/>
  <c r="L1100" s="1"/>
  <c r="J1387"/>
  <c r="J1386" s="1"/>
  <c r="J1385" s="1"/>
  <c r="J1384" s="1"/>
  <c r="J1255"/>
  <c r="J1254" s="1"/>
  <c r="J1253" s="1"/>
  <c r="L1364"/>
  <c r="L1170"/>
  <c r="J71"/>
  <c r="L71"/>
  <c r="L47"/>
  <c r="L227"/>
  <c r="L226" s="1"/>
  <c r="L209"/>
  <c r="L299"/>
  <c r="L358"/>
  <c r="L132"/>
  <c r="L129" s="1"/>
  <c r="L580"/>
  <c r="L588"/>
  <c r="L506"/>
  <c r="L390"/>
  <c r="L389" s="1"/>
  <c r="L415"/>
  <c r="L411" s="1"/>
  <c r="I1393"/>
  <c r="I1392" s="1"/>
  <c r="I1391" s="1"/>
  <c r="I632"/>
  <c r="I631" s="1"/>
  <c r="J1875"/>
  <c r="L1688"/>
  <c r="L1687" s="1"/>
  <c r="L1686" s="1"/>
  <c r="L1685" s="1"/>
  <c r="L1724"/>
  <c r="L1730"/>
  <c r="L1729" s="1"/>
  <c r="L1702"/>
  <c r="L1701" s="1"/>
  <c r="L1697" s="1"/>
  <c r="L1342"/>
  <c r="L1341" s="1"/>
  <c r="L1294"/>
  <c r="L1267"/>
  <c r="J1873"/>
  <c r="J1871" s="1"/>
  <c r="J1870" s="1"/>
  <c r="J1864" s="1"/>
  <c r="L1954"/>
  <c r="L1790"/>
  <c r="L1753"/>
  <c r="L1752" s="1"/>
  <c r="L1747" s="1"/>
  <c r="L1746" s="1"/>
  <c r="L1745" s="1"/>
  <c r="L1613"/>
  <c r="L1626"/>
  <c r="L1497"/>
  <c r="L1496" s="1"/>
  <c r="L1473"/>
  <c r="L1472" s="1"/>
  <c r="L1462" s="1"/>
  <c r="L1461" s="1"/>
  <c r="L1441"/>
  <c r="J1440"/>
  <c r="L1415"/>
  <c r="L1414" s="1"/>
  <c r="L1413" s="1"/>
  <c r="L1412" s="1"/>
  <c r="L1337"/>
  <c r="L1331" s="1"/>
  <c r="L1359"/>
  <c r="L1324"/>
  <c r="L1298"/>
  <c r="L1288"/>
  <c r="L1252"/>
  <c r="J1250"/>
  <c r="J1233" s="1"/>
  <c r="L1195"/>
  <c r="L1194" s="1"/>
  <c r="L1193" s="1"/>
  <c r="L1192" s="1"/>
  <c r="L1191" s="1"/>
  <c r="L1163"/>
  <c r="J1159"/>
  <c r="J1155" s="1"/>
  <c r="L1145"/>
  <c r="L1144" s="1"/>
  <c r="L1111"/>
  <c r="L1110" s="1"/>
  <c r="L1089"/>
  <c r="L1060"/>
  <c r="L1059" s="1"/>
  <c r="L1050"/>
  <c r="L1047" s="1"/>
  <c r="L1038"/>
  <c r="L1037" s="1"/>
  <c r="L1036" s="1"/>
  <c r="L1035" s="1"/>
  <c r="L1032"/>
  <c r="L1031" s="1"/>
  <c r="L1030" s="1"/>
  <c r="L975"/>
  <c r="J974"/>
  <c r="J973" s="1"/>
  <c r="J972" s="1"/>
  <c r="J971" s="1"/>
  <c r="L968"/>
  <c r="L967" s="1"/>
  <c r="L966" s="1"/>
  <c r="L945"/>
  <c r="L917"/>
  <c r="L916" s="1"/>
  <c r="L894"/>
  <c r="L869"/>
  <c r="L864"/>
  <c r="J863"/>
  <c r="J862" s="1"/>
  <c r="J861" s="1"/>
  <c r="L851"/>
  <c r="L850" s="1"/>
  <c r="L790"/>
  <c r="L789" s="1"/>
  <c r="L788" s="1"/>
  <c r="L784" s="1"/>
  <c r="L775" s="1"/>
  <c r="L676"/>
  <c r="L660"/>
  <c r="L652"/>
  <c r="L644"/>
  <c r="L714"/>
  <c r="L759"/>
  <c r="J758"/>
  <c r="J685" s="1"/>
  <c r="J684" s="1"/>
  <c r="L752"/>
  <c r="L724"/>
  <c r="L703"/>
  <c r="L686"/>
  <c r="L599"/>
  <c r="L598" s="1"/>
  <c r="L543"/>
  <c r="L530"/>
  <c r="L489"/>
  <c r="L485" s="1"/>
  <c r="L481" s="1"/>
  <c r="L455"/>
  <c r="L397"/>
  <c r="L394" s="1"/>
  <c r="L425"/>
  <c r="L373"/>
  <c r="L353"/>
  <c r="L326"/>
  <c r="L325" s="1"/>
  <c r="L291"/>
  <c r="L240"/>
  <c r="L221"/>
  <c r="L213"/>
  <c r="L205"/>
  <c r="L171"/>
  <c r="L170" s="1"/>
  <c r="L158"/>
  <c r="L146"/>
  <c r="L127"/>
  <c r="L115"/>
  <c r="L41"/>
  <c r="L74"/>
  <c r="J73"/>
  <c r="L54"/>
  <c r="I934"/>
  <c r="I832"/>
  <c r="K832"/>
  <c r="L794"/>
  <c r="I841"/>
  <c r="K841"/>
  <c r="L1922"/>
  <c r="L1921" s="1"/>
  <c r="L1920" s="1"/>
  <c r="L1919" s="1"/>
  <c r="L1918" s="1"/>
  <c r="L1879"/>
  <c r="L1878" s="1"/>
  <c r="L1658"/>
  <c r="L1566"/>
  <c r="L1395"/>
  <c r="L1394" s="1"/>
  <c r="L1389"/>
  <c r="L1369"/>
  <c r="L1306"/>
  <c r="L1274"/>
  <c r="L1258"/>
  <c r="L1247"/>
  <c r="L1181"/>
  <c r="L1180" s="1"/>
  <c r="L1179" s="1"/>
  <c r="L1178" s="1"/>
  <c r="L1165"/>
  <c r="L1156"/>
  <c r="L1134"/>
  <c r="L1133" s="1"/>
  <c r="L1132" s="1"/>
  <c r="L1131" s="1"/>
  <c r="L1129"/>
  <c r="L1128" s="1"/>
  <c r="L1127" s="1"/>
  <c r="L1126" s="1"/>
  <c r="L1125" s="1"/>
  <c r="L1115"/>
  <c r="L1113"/>
  <c r="L1106"/>
  <c r="L1095"/>
  <c r="L1094" s="1"/>
  <c r="L1083"/>
  <c r="L1082" s="1"/>
  <c r="L1081" s="1"/>
  <c r="L1080" s="1"/>
  <c r="L1069"/>
  <c r="L1063"/>
  <c r="L1021"/>
  <c r="L1020" s="1"/>
  <c r="L1019" s="1"/>
  <c r="L1018" s="1"/>
  <c r="L947"/>
  <c r="L950"/>
  <c r="L949" s="1"/>
  <c r="L908"/>
  <c r="L907" s="1"/>
  <c r="L897"/>
  <c r="J896"/>
  <c r="L873"/>
  <c r="L872" s="1"/>
  <c r="L871" s="1"/>
  <c r="L867"/>
  <c r="L847"/>
  <c r="L846" s="1"/>
  <c r="L845" s="1"/>
  <c r="L842"/>
  <c r="L838"/>
  <c r="L837" s="1"/>
  <c r="L833" s="1"/>
  <c r="L827"/>
  <c r="L805"/>
  <c r="L804" s="1"/>
  <c r="L803" s="1"/>
  <c r="L798"/>
  <c r="L797" s="1"/>
  <c r="L773"/>
  <c r="L772" s="1"/>
  <c r="L771" s="1"/>
  <c r="L767" s="1"/>
  <c r="L766" s="1"/>
  <c r="L678"/>
  <c r="L668"/>
  <c r="L664"/>
  <c r="L658"/>
  <c r="L654"/>
  <c r="L650"/>
  <c r="L646"/>
  <c r="L763"/>
  <c r="L698"/>
  <c r="L744"/>
  <c r="L734"/>
  <c r="L722"/>
  <c r="L705"/>
  <c r="L692"/>
  <c r="L688"/>
  <c r="L634"/>
  <c r="L633" s="1"/>
  <c r="L628"/>
  <c r="L627" s="1"/>
  <c r="L610"/>
  <c r="L604"/>
  <c r="L603" s="1"/>
  <c r="L602" s="1"/>
  <c r="L601" s="1"/>
  <c r="J603"/>
  <c r="J602" s="1"/>
  <c r="J601" s="1"/>
  <c r="L559"/>
  <c r="L558" s="1"/>
  <c r="L546"/>
  <c r="L540"/>
  <c r="L533"/>
  <c r="L519"/>
  <c r="L518" s="1"/>
  <c r="L497"/>
  <c r="L496" s="1"/>
  <c r="L475"/>
  <c r="L458"/>
  <c r="L450"/>
  <c r="L449" s="1"/>
  <c r="L408"/>
  <c r="L430"/>
  <c r="L421"/>
  <c r="L378"/>
  <c r="L377" s="1"/>
  <c r="L376" s="1"/>
  <c r="L369"/>
  <c r="L368" s="1"/>
  <c r="L367" s="1"/>
  <c r="L361"/>
  <c r="L360" s="1"/>
  <c r="L356"/>
  <c r="L340"/>
  <c r="L339" s="1"/>
  <c r="L320"/>
  <c r="L319" s="1"/>
  <c r="L313"/>
  <c r="L276"/>
  <c r="L273" s="1"/>
  <c r="L272" s="1"/>
  <c r="J273"/>
  <c r="J272" s="1"/>
  <c r="J267" s="1"/>
  <c r="J266" s="1"/>
  <c r="L250"/>
  <c r="L249" s="1"/>
  <c r="L248" s="1"/>
  <c r="L247" s="1"/>
  <c r="L233"/>
  <c r="L224"/>
  <c r="L219"/>
  <c r="L215"/>
  <c r="L211"/>
  <c r="L207"/>
  <c r="L202"/>
  <c r="L195"/>
  <c r="L102"/>
  <c r="L109"/>
  <c r="L108" s="1"/>
  <c r="L123"/>
  <c r="L119"/>
  <c r="L114"/>
  <c r="L113" s="1"/>
  <c r="J113"/>
  <c r="J112" s="1"/>
  <c r="L29"/>
  <c r="L28" s="1"/>
  <c r="L43"/>
  <c r="L39"/>
  <c r="L75"/>
  <c r="L56"/>
  <c r="L1826"/>
  <c r="L1825" s="1"/>
  <c r="L1839"/>
  <c r="L1838" s="1"/>
  <c r="J1048"/>
  <c r="J1047" s="1"/>
  <c r="J1042" s="1"/>
  <c r="J1041" s="1"/>
  <c r="J1040" s="1"/>
  <c r="L904"/>
  <c r="L892"/>
  <c r="L891" s="1"/>
  <c r="L881"/>
  <c r="L878" s="1"/>
  <c r="L877" s="1"/>
  <c r="L876" s="1"/>
  <c r="L875" s="1"/>
  <c r="L756"/>
  <c r="L749"/>
  <c r="L825"/>
  <c r="L824" s="1"/>
  <c r="L1016"/>
  <c r="L1015" s="1"/>
  <c r="L1014" s="1"/>
  <c r="L1013" s="1"/>
  <c r="L1008" s="1"/>
  <c r="L1807"/>
  <c r="L1806" s="1"/>
  <c r="L1805" s="1"/>
  <c r="L932"/>
  <c r="L929" s="1"/>
  <c r="L928" s="1"/>
  <c r="L915" s="1"/>
  <c r="L913"/>
  <c r="L912" s="1"/>
  <c r="L911" s="1"/>
  <c r="L296"/>
  <c r="L293"/>
  <c r="J262"/>
  <c r="J261" s="1"/>
  <c r="J260" s="1"/>
  <c r="L1244"/>
  <c r="L1189"/>
  <c r="L1188" s="1"/>
  <c r="L1187" s="1"/>
  <c r="L1186" s="1"/>
  <c r="L1159"/>
  <c r="L1155" s="1"/>
  <c r="K27"/>
  <c r="I27"/>
  <c r="J75"/>
  <c r="L65"/>
  <c r="L59"/>
  <c r="L49"/>
  <c r="L24"/>
  <c r="L23" s="1"/>
  <c r="L22" s="1"/>
  <c r="L186"/>
  <c r="L185" s="1"/>
  <c r="L231"/>
  <c r="L177"/>
  <c r="L176" s="1"/>
  <c r="L315"/>
  <c r="J123"/>
  <c r="L556"/>
  <c r="L555" s="1"/>
  <c r="L511"/>
  <c r="L510" s="1"/>
  <c r="L500"/>
  <c r="L499" s="1"/>
  <c r="L471"/>
  <c r="L405"/>
  <c r="L433"/>
  <c r="L144"/>
  <c r="K318"/>
  <c r="K283" s="1"/>
  <c r="J11"/>
  <c r="L1933"/>
  <c r="L1932" s="1"/>
  <c r="L1899"/>
  <c r="L1843"/>
  <c r="L1957"/>
  <c r="L1956" s="1"/>
  <c r="J1834"/>
  <c r="J1833" s="1"/>
  <c r="L1834"/>
  <c r="L1833" s="1"/>
  <c r="L1446"/>
  <c r="L1445" s="1"/>
  <c r="L1443"/>
  <c r="L1442" s="1"/>
  <c r="L1457"/>
  <c r="L1456" s="1"/>
  <c r="L1452" s="1"/>
  <c r="L1451" s="1"/>
  <c r="L1560"/>
  <c r="L1559" s="1"/>
  <c r="L1558" s="1"/>
  <c r="L1557" s="1"/>
  <c r="L1602"/>
  <c r="L1601" s="1"/>
  <c r="L1600" s="1"/>
  <c r="L1599" s="1"/>
  <c r="L1582"/>
  <c r="L1795"/>
  <c r="L1789" s="1"/>
  <c r="L1787"/>
  <c r="L1786" s="1"/>
  <c r="L1421"/>
  <c r="L1420" s="1"/>
  <c r="L1419" s="1"/>
  <c r="L1418" s="1"/>
  <c r="L1417" s="1"/>
  <c r="L1403"/>
  <c r="L1402" s="1"/>
  <c r="L1393" s="1"/>
  <c r="L1392" s="1"/>
  <c r="J1677"/>
  <c r="J1676" s="1"/>
  <c r="J1675" s="1"/>
  <c r="J1674" s="1"/>
  <c r="J1631"/>
  <c r="J1628" s="1"/>
  <c r="J1606" s="1"/>
  <c r="L1511"/>
  <c r="L1510" s="1"/>
  <c r="L1714"/>
  <c r="L1713" s="1"/>
  <c r="K366"/>
  <c r="L1382"/>
  <c r="L1381" s="1"/>
  <c r="L1380" s="1"/>
  <c r="L1373"/>
  <c r="L1368" s="1"/>
  <c r="L1362"/>
  <c r="L1354" s="1"/>
  <c r="L1329"/>
  <c r="L1328" s="1"/>
  <c r="L1321"/>
  <c r="L1310"/>
  <c r="L1300"/>
  <c r="L1296"/>
  <c r="L1290"/>
  <c r="L1270"/>
  <c r="L1260"/>
  <c r="J1543"/>
  <c r="J1542" s="1"/>
  <c r="J1541" s="1"/>
  <c r="J1393"/>
  <c r="J1392" s="1"/>
  <c r="J1391" s="1"/>
  <c r="J860"/>
  <c r="M169"/>
  <c r="L12"/>
  <c r="K351"/>
  <c r="K350" s="1"/>
  <c r="K349" s="1"/>
  <c r="M1736"/>
  <c r="M1393"/>
  <c r="M1392" s="1"/>
  <c r="M1391" s="1"/>
  <c r="M1008"/>
  <c r="M860"/>
  <c r="M90"/>
  <c r="K1931"/>
  <c r="K1930" s="1"/>
  <c r="L1894"/>
  <c r="I1875"/>
  <c r="L1853"/>
  <c r="L1760"/>
  <c r="L1759" s="1"/>
  <c r="K1704"/>
  <c r="K1696" s="1"/>
  <c r="K1824"/>
  <c r="K1823" s="1"/>
  <c r="K1822" s="1"/>
  <c r="J1851"/>
  <c r="J1842" s="1"/>
  <c r="J1841" s="1"/>
  <c r="L1851"/>
  <c r="L1842" s="1"/>
  <c r="L1841" s="1"/>
  <c r="L1952"/>
  <c r="L1768"/>
  <c r="L1767" s="1"/>
  <c r="L1944"/>
  <c r="L1943" s="1"/>
  <c r="L1942" s="1"/>
  <c r="L1861"/>
  <c r="L1860" s="1"/>
  <c r="L1859" s="1"/>
  <c r="L1858" s="1"/>
  <c r="I860"/>
  <c r="K860"/>
  <c r="L1773"/>
  <c r="L1772" s="1"/>
  <c r="L1771" s="1"/>
  <c r="L1770" s="1"/>
  <c r="L1573"/>
  <c r="L1565" s="1"/>
  <c r="L1564" s="1"/>
  <c r="L1563" s="1"/>
  <c r="L1554"/>
  <c r="L1553" s="1"/>
  <c r="L1545"/>
  <c r="L1544" s="1"/>
  <c r="L1906"/>
  <c r="L1905" s="1"/>
  <c r="L1904" s="1"/>
  <c r="L1903" s="1"/>
  <c r="L1592"/>
  <c r="L1591" s="1"/>
  <c r="L1590" s="1"/>
  <c r="L1586"/>
  <c r="L1817"/>
  <c r="L1816" s="1"/>
  <c r="L1815" s="1"/>
  <c r="L1814" s="1"/>
  <c r="L1799"/>
  <c r="L1798" s="1"/>
  <c r="L1797" s="1"/>
  <c r="L1682"/>
  <c r="L1681" s="1"/>
  <c r="L1680" s="1"/>
  <c r="L1679" s="1"/>
  <c r="L1608"/>
  <c r="L1607" s="1"/>
  <c r="L1666"/>
  <c r="L1657" s="1"/>
  <c r="L1639" s="1"/>
  <c r="L1629"/>
  <c r="L1619"/>
  <c r="L1618" s="1"/>
  <c r="L1617" s="1"/>
  <c r="L1516"/>
  <c r="L1515" s="1"/>
  <c r="L1503"/>
  <c r="L1502" s="1"/>
  <c r="L1494"/>
  <c r="L1493" s="1"/>
  <c r="L1489" s="1"/>
  <c r="L1738"/>
  <c r="L1737" s="1"/>
  <c r="L1736" s="1"/>
  <c r="L1706"/>
  <c r="L1705" s="1"/>
  <c r="L1694"/>
  <c r="L1693" s="1"/>
  <c r="L1692" s="1"/>
  <c r="L1691" s="1"/>
  <c r="M1875"/>
  <c r="I802"/>
  <c r="J1425"/>
  <c r="J1424" s="1"/>
  <c r="I1606"/>
  <c r="I1605" s="1"/>
  <c r="I1425"/>
  <c r="I1424" s="1"/>
  <c r="K454"/>
  <c r="K448" s="1"/>
  <c r="I1824"/>
  <c r="I1823" s="1"/>
  <c r="I1822" s="1"/>
  <c r="I1543"/>
  <c r="I1542" s="1"/>
  <c r="I1541" s="1"/>
  <c r="K915"/>
  <c r="K888" s="1"/>
  <c r="K875"/>
  <c r="L1062"/>
  <c r="J1097"/>
  <c r="J1085" s="1"/>
  <c r="K1103"/>
  <c r="K1097" s="1"/>
  <c r="K1085" s="1"/>
  <c r="L866"/>
  <c r="L865" s="1"/>
  <c r="J386"/>
  <c r="I509"/>
  <c r="J351"/>
  <c r="J350" s="1"/>
  <c r="J349" s="1"/>
  <c r="L585"/>
  <c r="L582" s="1"/>
  <c r="L573" s="1"/>
  <c r="L563" s="1"/>
  <c r="L529"/>
  <c r="M1947"/>
  <c r="M1946" s="1"/>
  <c r="M1728"/>
  <c r="M1723" s="1"/>
  <c r="M1254"/>
  <c r="M1253" s="1"/>
  <c r="M1209" s="1"/>
  <c r="M1203" s="1"/>
  <c r="K386"/>
  <c r="M153"/>
  <c r="L1631"/>
  <c r="J1947"/>
  <c r="J1946" s="1"/>
  <c r="I1579"/>
  <c r="I1578" s="1"/>
  <c r="K1579"/>
  <c r="K1578" s="1"/>
  <c r="J597"/>
  <c r="J596" s="1"/>
  <c r="J562" s="1"/>
  <c r="K539"/>
  <c r="K509" s="1"/>
  <c r="I597"/>
  <c r="I596" s="1"/>
  <c r="I562" s="1"/>
  <c r="J1340"/>
  <c r="K1254"/>
  <c r="K1253" s="1"/>
  <c r="K1209" s="1"/>
  <c r="L944"/>
  <c r="L940" s="1"/>
  <c r="L934" s="1"/>
  <c r="J193"/>
  <c r="I318"/>
  <c r="I283" s="1"/>
  <c r="I259" s="1"/>
  <c r="L605"/>
  <c r="L539"/>
  <c r="M1692"/>
  <c r="M1691" s="1"/>
  <c r="M1425"/>
  <c r="M1424" s="1"/>
  <c r="M1379"/>
  <c r="M318"/>
  <c r="M283" s="1"/>
  <c r="I1085"/>
  <c r="I875"/>
  <c r="I859" s="1"/>
  <c r="L1873"/>
  <c r="L1872" s="1"/>
  <c r="L1871" s="1"/>
  <c r="L1870" s="1"/>
  <c r="L1864" s="1"/>
  <c r="L1255"/>
  <c r="L1677"/>
  <c r="L1676" s="1"/>
  <c r="L1675" s="1"/>
  <c r="L1674" s="1"/>
  <c r="L1123"/>
  <c r="L1122" s="1"/>
  <c r="L1121" s="1"/>
  <c r="L1118" s="1"/>
  <c r="L1117" s="1"/>
  <c r="L262"/>
  <c r="L261" s="1"/>
  <c r="L260" s="1"/>
  <c r="J875"/>
  <c r="J1501"/>
  <c r="L1951"/>
  <c r="L1947" s="1"/>
  <c r="L1946" s="1"/>
  <c r="K1024"/>
  <c r="J832"/>
  <c r="K1439"/>
  <c r="K1438" s="1"/>
  <c r="K1437" s="1"/>
  <c r="K1423" s="1"/>
  <c r="K1782"/>
  <c r="K1776" s="1"/>
  <c r="I11"/>
  <c r="L793"/>
  <c r="L792" s="1"/>
  <c r="L765" s="1"/>
  <c r="L1164"/>
  <c r="J318"/>
  <c r="J283" s="1"/>
  <c r="L99"/>
  <c r="I246"/>
  <c r="I245" s="1"/>
  <c r="J246"/>
  <c r="J245" s="1"/>
  <c r="K246"/>
  <c r="K245" s="1"/>
  <c r="L246"/>
  <c r="L245" s="1"/>
  <c r="M1704"/>
  <c r="M1696" s="1"/>
  <c r="M1579"/>
  <c r="M1578" s="1"/>
  <c r="M1501"/>
  <c r="M1477" s="1"/>
  <c r="M1460" s="1"/>
  <c r="M940"/>
  <c r="M934" s="1"/>
  <c r="M832"/>
  <c r="M618"/>
  <c r="M617" s="1"/>
  <c r="M616" s="1"/>
  <c r="M554"/>
  <c r="M553" s="1"/>
  <c r="M448"/>
  <c r="M424"/>
  <c r="M386" s="1"/>
  <c r="M366"/>
  <c r="M27"/>
  <c r="M11"/>
  <c r="K802"/>
  <c r="I1782"/>
  <c r="I1776" s="1"/>
  <c r="I1756"/>
  <c r="J1756"/>
  <c r="K1756"/>
  <c r="K1947"/>
  <c r="K1946" s="1"/>
  <c r="K1929" s="1"/>
  <c r="I1931"/>
  <c r="I1930" s="1"/>
  <c r="I1040"/>
  <c r="I1024"/>
  <c r="K958"/>
  <c r="L1091"/>
  <c r="L1086" s="1"/>
  <c r="L641"/>
  <c r="K632"/>
  <c r="K631" s="1"/>
  <c r="J1439"/>
  <c r="J1438" s="1"/>
  <c r="J1437" s="1"/>
  <c r="K1008"/>
  <c r="L1103"/>
  <c r="L1097" s="1"/>
  <c r="J448"/>
  <c r="L841"/>
  <c r="L318"/>
  <c r="J1143"/>
  <c r="J1142" s="1"/>
  <c r="J1141" s="1"/>
  <c r="K11"/>
  <c r="K169"/>
  <c r="L230"/>
  <c r="L204"/>
  <c r="L298"/>
  <c r="M958"/>
  <c r="K1875"/>
  <c r="K1723"/>
  <c r="K1690" s="1"/>
  <c r="I1947"/>
  <c r="I1946" s="1"/>
  <c r="L1425"/>
  <c r="L1424" s="1"/>
  <c r="J1931"/>
  <c r="J1930" s="1"/>
  <c r="I1008"/>
  <c r="J958"/>
  <c r="J915"/>
  <c r="J890"/>
  <c r="J889" s="1"/>
  <c r="K1040"/>
  <c r="L901"/>
  <c r="L898" s="1"/>
  <c r="J802"/>
  <c r="L832"/>
  <c r="I765"/>
  <c r="I630" s="1"/>
  <c r="I1439"/>
  <c r="I1438" s="1"/>
  <c r="I1437" s="1"/>
  <c r="J1008"/>
  <c r="K1543"/>
  <c r="K1542" s="1"/>
  <c r="K1541" s="1"/>
  <c r="J1579"/>
  <c r="J1578" s="1"/>
  <c r="L1052"/>
  <c r="I1704"/>
  <c r="I1696" s="1"/>
  <c r="I1690" s="1"/>
  <c r="J1704"/>
  <c r="J1696" s="1"/>
  <c r="K1606"/>
  <c r="K1605" s="1"/>
  <c r="J632"/>
  <c r="J631" s="1"/>
  <c r="K597"/>
  <c r="K596" s="1"/>
  <c r="K562" s="1"/>
  <c r="L1728"/>
  <c r="K1340"/>
  <c r="K1281"/>
  <c r="K1501"/>
  <c r="K1477" s="1"/>
  <c r="K1460" s="1"/>
  <c r="J934"/>
  <c r="I169"/>
  <c r="I26" s="1"/>
  <c r="K944"/>
  <c r="K940" s="1"/>
  <c r="K934" s="1"/>
  <c r="L38"/>
  <c r="L46"/>
  <c r="I1501"/>
  <c r="I1477" s="1"/>
  <c r="I1460" s="1"/>
  <c r="J169"/>
  <c r="L355"/>
  <c r="L352" s="1"/>
  <c r="L351" s="1"/>
  <c r="L350" s="1"/>
  <c r="L349" s="1"/>
  <c r="L410"/>
  <c r="L143"/>
  <c r="M1931"/>
  <c r="M1930" s="1"/>
  <c r="M1824"/>
  <c r="M1823" s="1"/>
  <c r="M1822" s="1"/>
  <c r="M1758"/>
  <c r="M1757" s="1"/>
  <c r="M1756" s="1"/>
  <c r="M1438"/>
  <c r="M1437" s="1"/>
  <c r="M1097"/>
  <c r="M1085" s="1"/>
  <c r="M1052"/>
  <c r="M1040" s="1"/>
  <c r="M915"/>
  <c r="M888" s="1"/>
  <c r="M597"/>
  <c r="M596" s="1"/>
  <c r="M562" s="1"/>
  <c r="M351"/>
  <c r="M350" s="1"/>
  <c r="M349" s="1"/>
  <c r="M246"/>
  <c r="M245" s="1"/>
  <c r="L554"/>
  <c r="L553" s="1"/>
  <c r="M1606"/>
  <c r="M1605" s="1"/>
  <c r="M1543"/>
  <c r="M1542" s="1"/>
  <c r="M1541" s="1"/>
  <c r="M875"/>
  <c r="M509"/>
  <c r="L157"/>
  <c r="J1782"/>
  <c r="J1963" s="1"/>
  <c r="J1723"/>
  <c r="I888"/>
  <c r="K765"/>
  <c r="J765"/>
  <c r="K1393"/>
  <c r="K1392" s="1"/>
  <c r="K1391" s="1"/>
  <c r="L958"/>
  <c r="J509"/>
  <c r="I1379"/>
  <c r="I1203"/>
  <c r="J1379"/>
  <c r="J1209"/>
  <c r="K1379"/>
  <c r="I381"/>
  <c r="L1387"/>
  <c r="L1386" s="1"/>
  <c r="L1385" s="1"/>
  <c r="L1384" s="1"/>
  <c r="K1141"/>
  <c r="L618"/>
  <c r="L617" s="1"/>
  <c r="L616" s="1"/>
  <c r="M1141"/>
  <c r="M1024"/>
  <c r="M802"/>
  <c r="M632"/>
  <c r="M631" s="1"/>
  <c r="J1477"/>
  <c r="J1460" s="1"/>
  <c r="I1141"/>
  <c r="M1782"/>
  <c r="M1776" s="1"/>
  <c r="M765"/>
  <c r="L470" l="1"/>
  <c r="L461" s="1"/>
  <c r="L454"/>
  <c r="L366"/>
  <c r="L194"/>
  <c r="L1024"/>
  <c r="L1628"/>
  <c r="L1606" s="1"/>
  <c r="L1605" s="1"/>
  <c r="L1391"/>
  <c r="K259"/>
  <c r="M26"/>
  <c r="L404"/>
  <c r="J1690"/>
  <c r="J1605"/>
  <c r="L424"/>
  <c r="L492"/>
  <c r="J111"/>
  <c r="J90" s="1"/>
  <c r="J45"/>
  <c r="J27" s="1"/>
  <c r="L597"/>
  <c r="I1929"/>
  <c r="I10"/>
  <c r="L823"/>
  <c r="L802" s="1"/>
  <c r="M259"/>
  <c r="L1543"/>
  <c r="L1542" s="1"/>
  <c r="L1541" s="1"/>
  <c r="K859"/>
  <c r="J630"/>
  <c r="M859"/>
  <c r="M801" s="1"/>
  <c r="L142"/>
  <c r="L141" s="1"/>
  <c r="K381"/>
  <c r="L73"/>
  <c r="L758"/>
  <c r="L685" s="1"/>
  <c r="L684" s="1"/>
  <c r="L632" s="1"/>
  <c r="L631" s="1"/>
  <c r="L630" s="1"/>
  <c r="L863"/>
  <c r="L862" s="1"/>
  <c r="L861" s="1"/>
  <c r="L860" s="1"/>
  <c r="L859" s="1"/>
  <c r="L974"/>
  <c r="L973" s="1"/>
  <c r="L972" s="1"/>
  <c r="L971" s="1"/>
  <c r="L1250"/>
  <c r="L1233" s="1"/>
  <c r="L1440"/>
  <c r="L1439" s="1"/>
  <c r="L1438" s="1"/>
  <c r="L1437" s="1"/>
  <c r="L1723"/>
  <c r="L1783"/>
  <c r="L1782" s="1"/>
  <c r="L1776" s="1"/>
  <c r="L290"/>
  <c r="L112"/>
  <c r="L111" s="1"/>
  <c r="L90" s="1"/>
  <c r="L267"/>
  <c r="L266" s="1"/>
  <c r="L596"/>
  <c r="L562" s="1"/>
  <c r="L45"/>
  <c r="K365"/>
  <c r="M1197"/>
  <c r="J1203"/>
  <c r="J1197" s="1"/>
  <c r="K630"/>
  <c r="I801"/>
  <c r="M1929"/>
  <c r="I1423"/>
  <c r="J1929"/>
  <c r="L193"/>
  <c r="L169" s="1"/>
  <c r="K26"/>
  <c r="K10" s="1"/>
  <c r="J1423"/>
  <c r="L1704"/>
  <c r="L1696" s="1"/>
  <c r="L1931"/>
  <c r="L1930" s="1"/>
  <c r="L1929" s="1"/>
  <c r="M1690"/>
  <c r="J888"/>
  <c r="L1143"/>
  <c r="L1142" s="1"/>
  <c r="L1141" s="1"/>
  <c r="J1007"/>
  <c r="M381"/>
  <c r="M365" s="1"/>
  <c r="I1007"/>
  <c r="I887" s="1"/>
  <c r="L284"/>
  <c r="L1340"/>
  <c r="L448"/>
  <c r="L896"/>
  <c r="L890" s="1"/>
  <c r="L889" s="1"/>
  <c r="L888" s="1"/>
  <c r="M10"/>
  <c r="J381"/>
  <c r="J365" s="1"/>
  <c r="L1423"/>
  <c r="L1501"/>
  <c r="L1477" s="1"/>
  <c r="L1460" s="1"/>
  <c r="J1824"/>
  <c r="J1823" s="1"/>
  <c r="J1822" s="1"/>
  <c r="L1893"/>
  <c r="L1877" s="1"/>
  <c r="L1876" s="1"/>
  <c r="L11"/>
  <c r="L27"/>
  <c r="L1284"/>
  <c r="L1281" s="1"/>
  <c r="K801"/>
  <c r="K1007"/>
  <c r="K887" s="1"/>
  <c r="L1875"/>
  <c r="J859"/>
  <c r="J801" s="1"/>
  <c r="L1581"/>
  <c r="L1580" s="1"/>
  <c r="L1579" s="1"/>
  <c r="L1578" s="1"/>
  <c r="L1824"/>
  <c r="L1823" s="1"/>
  <c r="L1822" s="1"/>
  <c r="M1423"/>
  <c r="K1203"/>
  <c r="K1197" s="1"/>
  <c r="L509"/>
  <c r="L1379"/>
  <c r="I365"/>
  <c r="J1776"/>
  <c r="L1254"/>
  <c r="L1253" s="1"/>
  <c r="L1209" s="1"/>
  <c r="M1007"/>
  <c r="M887" s="1"/>
  <c r="L1758"/>
  <c r="L1757" s="1"/>
  <c r="L1756" s="1"/>
  <c r="I1197"/>
  <c r="L283"/>
  <c r="L259" s="1"/>
  <c r="J259"/>
  <c r="L153"/>
  <c r="L1042"/>
  <c r="L1041" s="1"/>
  <c r="L1040" s="1"/>
  <c r="L1085"/>
  <c r="M630"/>
  <c r="J26" l="1"/>
  <c r="J10" s="1"/>
  <c r="L1203"/>
  <c r="L386"/>
  <c r="L381" s="1"/>
  <c r="L365" s="1"/>
  <c r="L801"/>
  <c r="J887"/>
  <c r="J1962" s="1"/>
  <c r="L1690"/>
  <c r="I1962"/>
  <c r="L26"/>
  <c r="L10" s="1"/>
  <c r="K1962"/>
  <c r="L1197"/>
  <c r="M1962"/>
  <c r="L1007"/>
  <c r="L887" s="1"/>
  <c r="L1962" l="1"/>
</calcChain>
</file>

<file path=xl/sharedStrings.xml><?xml version="1.0" encoding="utf-8"?>
<sst xmlns="http://schemas.openxmlformats.org/spreadsheetml/2006/main" count="11046" uniqueCount="1868">
  <si>
    <t>Наименование показателя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</si>
  <si>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</si>
  <si>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</si>
  <si>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</si>
  <si>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</si>
  <si>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</si>
  <si>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</si>
  <si>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 xml:space="preserve">Министерство здравоохранения Республики Алтай </t>
  </si>
  <si>
    <t>Образование</t>
  </si>
  <si>
    <t>07</t>
  </si>
  <si>
    <t>Среднее профессиональное образование</t>
  </si>
  <si>
    <t>04</t>
  </si>
  <si>
    <t>Обеспечение деятельности подведомственных учреждений</t>
  </si>
  <si>
    <t>Здравоохранение</t>
  </si>
  <si>
    <t>09</t>
  </si>
  <si>
    <t>Стационарная медицинская помощь</t>
  </si>
  <si>
    <t>01</t>
  </si>
  <si>
    <t>Региональные целевые программы</t>
  </si>
  <si>
    <t>522 00 00</t>
  </si>
  <si>
    <t>522 01 00</t>
  </si>
  <si>
    <t xml:space="preserve">Мероприятия по реализации проекта в рамках преимущественно одноканального финансирования </t>
  </si>
  <si>
    <t>РЦП "Демографическое развитие Республики  Алтай на 2010-2015 годы"</t>
  </si>
  <si>
    <t>522 84 00</t>
  </si>
  <si>
    <t>522 84 20</t>
  </si>
  <si>
    <t>522 84 30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</si>
  <si>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</si>
  <si>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</si>
  <si>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</si>
  <si>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</si>
  <si>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</si>
  <si>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Санаторно-оздоровительная помощь</t>
  </si>
  <si>
    <t>05</t>
  </si>
  <si>
    <t>522 84 40</t>
  </si>
  <si>
    <t>Заготовка, переработка, хранение и обеспечение безопасности донорской крови и ее компонентов</t>
  </si>
  <si>
    <t>06</t>
  </si>
  <si>
    <t>522 07 00</t>
  </si>
  <si>
    <t>Другие вопросы в области здравоохранения</t>
  </si>
  <si>
    <t>Руководство и управление в сфере установленных функций</t>
  </si>
  <si>
    <t>001 00 00</t>
  </si>
  <si>
    <t>001 49 00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</si>
  <si>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</si>
  <si>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</si>
  <si>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</si>
  <si>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</si>
  <si>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522 84 10</t>
  </si>
  <si>
    <t>Социальная политика</t>
  </si>
  <si>
    <t>Социальное обеспечение населения</t>
  </si>
  <si>
    <t>Социальная помощь</t>
  </si>
  <si>
    <t>505 00 00</t>
  </si>
  <si>
    <t>Межбюджетные трансферты</t>
  </si>
  <si>
    <t>11</t>
  </si>
  <si>
    <t>Министерство культуры Республики Алтай</t>
  </si>
  <si>
    <t>Общегосударственные вопросы</t>
  </si>
  <si>
    <t>Другие общегосударственные вопросы</t>
  </si>
  <si>
    <t>13</t>
  </si>
  <si>
    <t>002 33 00</t>
  </si>
  <si>
    <t>08</t>
  </si>
  <si>
    <t xml:space="preserve">Культура </t>
  </si>
  <si>
    <t>440 00 00</t>
  </si>
  <si>
    <t>Комплектование книжных фондов библиотек муниципальных образований</t>
  </si>
  <si>
    <t>РЦП "Культура Республики Алтай на 2011-2016 годы"</t>
  </si>
  <si>
    <t>522 86 00</t>
  </si>
  <si>
    <t xml:space="preserve">Другие вопросы в области культуры, кинематографии 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</si>
  <si>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</si>
  <si>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001 53 00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</si>
  <si>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</si>
  <si>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522 83 00</t>
  </si>
  <si>
    <t>Мероприятия в области социальной политики</t>
  </si>
  <si>
    <t>Средства массовой информации</t>
  </si>
  <si>
    <t>12</t>
  </si>
  <si>
    <t>Периодическая печать и издательства</t>
  </si>
  <si>
    <t>Министерство образования, науки и молодежной политики Республики Алтай</t>
  </si>
  <si>
    <t>Прикладные научные исследования в области общегосударственных вопросов</t>
  </si>
  <si>
    <t>Общее образование</t>
  </si>
  <si>
    <t>Начальное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</si>
  <si>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</si>
  <si>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</si>
  <si>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</si>
  <si>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</si>
  <si>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</si>
  <si>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Мероприятия в области образования</t>
  </si>
  <si>
    <t>436 00 00</t>
  </si>
  <si>
    <t>522 16 00</t>
  </si>
  <si>
    <t>РЦП "Жилище" на 2011-2015 годы</t>
  </si>
  <si>
    <t>522 96 00</t>
  </si>
  <si>
    <t>подпрограмма "Обеспечение жильем молодых семей"</t>
  </si>
  <si>
    <t>522 96 04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</si>
  <si>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</si>
  <si>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</si>
  <si>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</si>
  <si>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</si>
  <si>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</si>
  <si>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</si>
  <si>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</si>
  <si>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</si>
  <si>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</si>
  <si>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520 13 01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</si>
  <si>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</si>
  <si>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</si>
  <si>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 xml:space="preserve">Комитет ветеринарии с Госветинспекцией Республики Алтай </t>
  </si>
  <si>
    <t>Национальная  экономика</t>
  </si>
  <si>
    <t>Сельское хозяйство и рыболовство</t>
  </si>
  <si>
    <t>Министерство сельского хозяйства Республики Алтай</t>
  </si>
  <si>
    <t>РЦП "Развитие агропромышленного комплекса Республики Алтай на 2011-2017 годы"</t>
  </si>
  <si>
    <t>522 27 00</t>
  </si>
  <si>
    <t>Мероприятия в области сельскохозяйственного производства по информационному обеспечению АПК</t>
  </si>
  <si>
    <t>522 27 04</t>
  </si>
  <si>
    <t>522 27 11</t>
  </si>
  <si>
    <t>Субсидии на поддержку  овцеводства</t>
  </si>
  <si>
    <t>522 27 12</t>
  </si>
  <si>
    <t>522 27 13</t>
  </si>
  <si>
    <t>Субсидии на поддержку  молочного скотоводства, других отраслей животноводства, рыбоводства</t>
  </si>
  <si>
    <t>522 27 14</t>
  </si>
  <si>
    <t>522 27 15</t>
  </si>
  <si>
    <t>Субсидии на поддержку элитного семеноводства</t>
  </si>
  <si>
    <t>522 27 21</t>
  </si>
  <si>
    <t xml:space="preserve">Субсидии на приобретение семян для выращивания  кормов в северных и высокогорных районах  </t>
  </si>
  <si>
    <t>522 27 22</t>
  </si>
  <si>
    <t>522 27 23</t>
  </si>
  <si>
    <t>522 27 31</t>
  </si>
  <si>
    <t>522 27 32</t>
  </si>
  <si>
    <t>522 27 33</t>
  </si>
  <si>
    <t xml:space="preserve">Мероприятия по организации ярмарок, выставок сельскохозяйственной продукции и другие мероприятия в области сельского хозяйства </t>
  </si>
  <si>
    <t>522 27 41</t>
  </si>
  <si>
    <t>Мероприятия по кадровому обеспечению агропромышленного комплекса</t>
  </si>
  <si>
    <t>522 27 51</t>
  </si>
  <si>
    <t xml:space="preserve">Мероприятия по организации республиканских трудовых соревнований и прочих конкурсов </t>
  </si>
  <si>
    <t>522 27 52</t>
  </si>
  <si>
    <t>Мероприятия по защите земель от затопления и подтопления, водной эрозии (противопаводковые мероприятия)</t>
  </si>
  <si>
    <t>522 27 53</t>
  </si>
  <si>
    <t>Агрохимическое  и эколого-токсикологическое обследование земель сельскохозяйственного назначения</t>
  </si>
  <si>
    <t>522 27 54</t>
  </si>
  <si>
    <t>Субсидии на приобретение техники и оборудования</t>
  </si>
  <si>
    <t>522 27 81</t>
  </si>
  <si>
    <t>Мероприятия по регулированию численности волков</t>
  </si>
  <si>
    <t>522 27 82</t>
  </si>
  <si>
    <t>522 27 91</t>
  </si>
  <si>
    <t>Жилищно-коммунальное хозяйство</t>
  </si>
  <si>
    <t>Коммунальное хозяйство</t>
  </si>
  <si>
    <t>522 27 02</t>
  </si>
  <si>
    <t>10</t>
  </si>
  <si>
    <t xml:space="preserve">Министерство финансов Республики Алтай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</si>
  <si>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</si>
  <si>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</si>
  <si>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Резервные фонды 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</si>
  <si>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</si>
  <si>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</si>
  <si>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</si>
  <si>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</si>
  <si>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070 04 01</t>
  </si>
  <si>
    <t xml:space="preserve">Резервный фонд Правительства Республики Алтай </t>
  </si>
  <si>
    <t>070 04 02</t>
  </si>
  <si>
    <t xml:space="preserve">01 </t>
  </si>
  <si>
    <t>Резервные фонды субъектов Российской Федерации</t>
  </si>
  <si>
    <t>070 06 00</t>
  </si>
  <si>
    <t>522 88 00</t>
  </si>
  <si>
    <t>Национальная экономика</t>
  </si>
  <si>
    <t>Связь и информатика</t>
  </si>
  <si>
    <t>Другие вопросы в области национальной экономики</t>
  </si>
  <si>
    <t>522 79 00</t>
  </si>
  <si>
    <t>Страховые взносы по обязательному медицинскому страхованию неработающего населения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</si>
  <si>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</si>
  <si>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</si>
  <si>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001 62 00</t>
  </si>
  <si>
    <t>Судебная система</t>
  </si>
  <si>
    <t>001 60 00</t>
  </si>
  <si>
    <t>Осуществление государственных полномочий в области архивного дела</t>
  </si>
  <si>
    <t>001 61 00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</si>
  <si>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</si>
  <si>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</si>
  <si>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</si>
  <si>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</si>
  <si>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</si>
  <si>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</si>
  <si>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421 00 01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</si>
  <si>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</si>
  <si>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</si>
  <si>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436 53 00</t>
  </si>
  <si>
    <t>Пенсионное обеспечение</t>
  </si>
  <si>
    <t>Осуществление назначения и выплаты доплат к пенсиям</t>
  </si>
  <si>
    <t>505 69 00</t>
  </si>
  <si>
    <t>Социальное обслуживание населения</t>
  </si>
  <si>
    <t>505 34 02</t>
  </si>
  <si>
    <t>505 36 01</t>
  </si>
  <si>
    <t>Оплата жилищно-коммунальных услуг отдельным категориям граждан</t>
  </si>
  <si>
    <t>505 46 00</t>
  </si>
  <si>
    <t>Предоставление гражданам субсидий на оплату жилого помещения  и коммунальных услуг</t>
  </si>
  <si>
    <t>505 48 01</t>
  </si>
  <si>
    <t xml:space="preserve">Ежемесячное пособие на ребенка </t>
  </si>
  <si>
    <t>Обеспечение мер социальной поддержки ветеранов труда 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</si>
  <si>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</si>
  <si>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гарантированных услуг по погребению</t>
  </si>
  <si>
    <t>505 65 00</t>
  </si>
  <si>
    <t>Предоставление мер социальной поддержки ветеранам труда Республики Алтай</t>
  </si>
  <si>
    <t>505 66 00</t>
  </si>
  <si>
    <t>Предоставление мер социальной поддержки некоторым категориям работников, проживающих в сельской местности Республики Алтай</t>
  </si>
  <si>
    <t>505 67 00</t>
  </si>
  <si>
    <t>Предоставление мер социальной поддержки многодетным семьям</t>
  </si>
  <si>
    <t>505 68 00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</si>
  <si>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</si>
  <si>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</si>
  <si>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</si>
  <si>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</si>
  <si>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</si>
  <si>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</si>
  <si>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</si>
  <si>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</si>
  <si>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</si>
  <si>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</si>
  <si>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>Иные дотации</t>
  </si>
  <si>
    <t>Дотации</t>
  </si>
  <si>
    <t>517 00 00</t>
  </si>
  <si>
    <t>Поддержка мер по обеспечению сбалансированности бюджетов</t>
  </si>
  <si>
    <t>517 02 00</t>
  </si>
  <si>
    <t xml:space="preserve">Прочие дотации </t>
  </si>
  <si>
    <t>Прочие межбюджетные трансферты общего характера</t>
  </si>
  <si>
    <t>Министерство регионального развития Республики Алтай</t>
  </si>
  <si>
    <t>Дорожное хозяйство (Дорожные фонды)</t>
  </si>
  <si>
    <t>РЦП "Развитие транспортной инфраструктуры Республики Алтай на 2011-2015 годы"</t>
  </si>
  <si>
    <t>522 58 00</t>
  </si>
  <si>
    <t>522 96 06</t>
  </si>
  <si>
    <t>РЦП "Энергосбережение и повышение энергетической эффективности Республики Алтай на 2010-2015 годы и на период до 2020 года"</t>
  </si>
  <si>
    <t>522 51 00</t>
  </si>
  <si>
    <t>Подпрограмма  "Энергосбережение  в сфере предоставления коммунальных услуг на территории Республики Алтай"</t>
  </si>
  <si>
    <t>522 51 01</t>
  </si>
  <si>
    <t>Другие вопросы в области жилищно-коммунального хозяйства</t>
  </si>
  <si>
    <t>Дошкольное образование</t>
  </si>
  <si>
    <t>РЦП "Экономическое и социальное развитие коренных малочисленных народов Республики Алтай до 2015 года"</t>
  </si>
  <si>
    <t>522 50 00</t>
  </si>
  <si>
    <t>522 14 00</t>
  </si>
  <si>
    <t>522 15 10</t>
  </si>
  <si>
    <t>Физическая культура и спорт</t>
  </si>
  <si>
    <t>505 86 00</t>
  </si>
  <si>
    <t>Государственная жилищная инспекция Республики Алтай</t>
  </si>
  <si>
    <t>Министерство экономического развития и инвестиций Республики Алтай</t>
  </si>
  <si>
    <t>Министерство труда и социального развития Республики Алтай</t>
  </si>
  <si>
    <t xml:space="preserve">Оздоровление детей </t>
  </si>
  <si>
    <t>432 02 00</t>
  </si>
  <si>
    <t>Оздоровление детей школьного возраста до 15 лет</t>
  </si>
  <si>
    <t>432 02 01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</si>
  <si>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</si>
  <si>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</si>
  <si>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</si>
  <si>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</si>
  <si>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</si>
  <si>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</si>
  <si>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522 52 00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</si>
  <si>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</si>
  <si>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</si>
  <si>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</si>
  <si>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</si>
  <si>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505 33 00</t>
  </si>
  <si>
    <t>505 37 01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</si>
  <si>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</si>
  <si>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</si>
  <si>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</si>
  <si>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</si>
  <si>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отдельных категорий граждан по газификации жилых помещений в Республике Алтай</t>
  </si>
  <si>
    <t>Другие вопросы в области социальной политики</t>
  </si>
  <si>
    <t>Комитет по делам архивов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</si>
  <si>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</si>
  <si>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</si>
  <si>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</si>
  <si>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</si>
  <si>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</si>
  <si>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</si>
  <si>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>Контрольно-счетная палата Республики Алтай</t>
  </si>
  <si>
    <t>Комитет по тарифам Республики Алтай</t>
  </si>
  <si>
    <t>Общеэкономические вопросы</t>
  </si>
  <si>
    <t>Избирательная комиссия Республики Алтай</t>
  </si>
  <si>
    <t>Обеспечение проведения выборов и референдумов</t>
  </si>
  <si>
    <t>020 04 00</t>
  </si>
  <si>
    <t>Государственное Собрание - Эл Курултай Республики Алтай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</si>
  <si>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</si>
  <si>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</si>
  <si>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</si>
  <si>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 xml:space="preserve">Депутаты (члены) законодательного  (представительного) органа государственной  власти Российской Федерации </t>
  </si>
  <si>
    <t>002 10 00</t>
  </si>
  <si>
    <t>Правительство Республики Алтай</t>
  </si>
  <si>
    <t> 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</si>
  <si>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</si>
  <si>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Высшее должностное  лицо  субъекта Российской Федерации и его заместители </t>
  </si>
  <si>
    <t>002 06 00</t>
  </si>
  <si>
    <t>Обеспечение деятельности аппаратов судов (аппарат мирового судьи)</t>
  </si>
  <si>
    <t>002 23 02</t>
  </si>
  <si>
    <t>Обеспечение деятельности аппаратов судов (техническое обеспечение аппарата мирового судьи)</t>
  </si>
  <si>
    <t>002 23 03</t>
  </si>
  <si>
    <t>Руководство и управление  в сфере установленных функций</t>
  </si>
  <si>
    <t xml:space="preserve">Государственная регистрация актов гражданского состояния </t>
  </si>
  <si>
    <t>001 38 00</t>
  </si>
  <si>
    <t>Мобилизационная подготовка экономики</t>
  </si>
  <si>
    <t>Министерство лесного хозяйства Республики Алтай</t>
  </si>
  <si>
    <t>Водное хозяйство</t>
  </si>
  <si>
    <t>Водохозяйственные мероприятия</t>
  </si>
  <si>
    <t>280 00 00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</si>
  <si>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</si>
  <si>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</si>
  <si>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</si>
  <si>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</si>
  <si>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</si>
  <si>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</si>
  <si>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</si>
  <si>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</si>
  <si>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</si>
  <si>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</si>
  <si>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Инспекция Республики Алтай по надзору за техническим состоянием самоходных машин и других видов техники</t>
  </si>
  <si>
    <t>Транспорт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</si>
  <si>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</si>
  <si>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</si>
  <si>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</si>
  <si>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</si>
  <si>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Реализация государственной политики занятости населения</t>
  </si>
  <si>
    <t>510 00 00</t>
  </si>
  <si>
    <t>Министерство туризма и предпринимательства Республики Алтай</t>
  </si>
  <si>
    <t>РЦП "Перспективная территориальная организация и развитие внутреннего и въездного туризма в Республике Алтай на 2011-2016 годы"</t>
  </si>
  <si>
    <t>522 80 00</t>
  </si>
  <si>
    <t>Аппарат Уполномоченного по правам человека в Республике Алтай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</si>
  <si>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</si>
  <si>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</si>
  <si>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</si>
  <si>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001 51 00</t>
  </si>
  <si>
    <t>264 01 00</t>
  </si>
  <si>
    <t>264 02 00</t>
  </si>
  <si>
    <t>Итого условно утверждаемые расходы</t>
  </si>
  <si>
    <t>99</t>
  </si>
  <si>
    <t>999 00 00</t>
  </si>
  <si>
    <t>999</t>
  </si>
  <si>
    <t xml:space="preserve">Итого расходов </t>
  </si>
  <si>
    <t>522 54 00</t>
  </si>
  <si>
    <t>630</t>
  </si>
  <si>
    <t>Субсидии некоммерческим организациям (за исключением государственных (муниципальных) учреждений)</t>
  </si>
  <si>
    <t>121</t>
  </si>
  <si>
    <t>122</t>
  </si>
  <si>
    <t>242</t>
  </si>
  <si>
    <t>244</t>
  </si>
  <si>
    <t>851</t>
  </si>
  <si>
    <t>852</t>
  </si>
  <si>
    <t>Фонд оплаты труда и страховые взносы</t>
  </si>
  <si>
    <t xml:space="preserve">Закупка товаров, работ, услуг в сфере информационно-коммуникационных технологий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</si>
  <si>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</si>
  <si>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</si>
  <si>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</si>
  <si>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428 00 00</t>
  </si>
  <si>
    <t>Институты повышения квалификации</t>
  </si>
  <si>
    <t>428 78 00</t>
  </si>
  <si>
    <t xml:space="preserve">Иные выплаты персоналу, за исключением фонда оплаты труда
</t>
  </si>
  <si>
    <t>880</t>
  </si>
  <si>
    <t>111</t>
  </si>
  <si>
    <t>112</t>
  </si>
  <si>
    <t xml:space="preserve">Фонд оплаты труда и страховые взносы </t>
  </si>
  <si>
    <t>226</t>
  </si>
  <si>
    <t>Казенное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</si>
  <si>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 xml:space="preserve">Фонд оплаты труда и страховые взносы
</t>
  </si>
  <si>
    <t>862</t>
  </si>
  <si>
    <t>Специальные расходы</t>
  </si>
  <si>
    <t>621</t>
  </si>
  <si>
    <t>Иные выплаты персоналу, за исключением фонда оплаты труда</t>
  </si>
  <si>
    <t>Пенсии, выплачиваемые организациями сектора государственного управления</t>
  </si>
  <si>
    <t>312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</si>
  <si>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</si>
  <si>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</si>
  <si>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</si>
  <si>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</si>
  <si>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Ведомственные целевые программы</t>
  </si>
  <si>
    <t>622 00 00</t>
  </si>
  <si>
    <t>622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</si>
  <si>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</si>
  <si>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</t>
  </si>
  <si>
    <t>321</t>
  </si>
  <si>
    <t>313</t>
  </si>
  <si>
    <t>622 70 01</t>
  </si>
  <si>
    <t>Ведомственная целевая программа</t>
  </si>
  <si>
    <t>612</t>
  </si>
  <si>
    <t>Субсидии бюджетным учреждениям на иные цели</t>
  </si>
  <si>
    <t>241</t>
  </si>
  <si>
    <t>810</t>
  </si>
  <si>
    <t xml:space="preserve">  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</si>
  <si>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
</t>
  </si>
  <si>
    <t>622 31 00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</si>
  <si>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</si>
  <si>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Уплата прочих налогов, сборов и иных платежей</t>
  </si>
  <si>
    <t>330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</si>
  <si>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</si>
  <si>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Иные выплаты персоналу, за исключением фонда  оплаты труда</t>
  </si>
  <si>
    <t>Уплата налога на имущество организаций и земельного налога</t>
  </si>
  <si>
    <t>521</t>
  </si>
  <si>
    <t>411</t>
  </si>
  <si>
    <t>622 41 00</t>
  </si>
  <si>
    <t>622 42 00</t>
  </si>
  <si>
    <t>Пособия и компенсации по публичным нормативным обязательствам</t>
  </si>
  <si>
    <t>622 43 00</t>
  </si>
  <si>
    <t>622 44 00</t>
  </si>
  <si>
    <t>622 45 00</t>
  </si>
  <si>
    <t>622 46 00</t>
  </si>
  <si>
    <t>622 47 00</t>
  </si>
  <si>
    <t>622 48 00</t>
  </si>
  <si>
    <t>522 01 10</t>
  </si>
  <si>
    <t>522 01 20</t>
  </si>
  <si>
    <t>522 01 30</t>
  </si>
  <si>
    <t>522 01 24</t>
  </si>
  <si>
    <t>522 01 26</t>
  </si>
  <si>
    <t>522 01 29</t>
  </si>
  <si>
    <t>Централизованная оплата специализированного лечения за пределами Республики Алтай</t>
  </si>
  <si>
    <t>522 01 91</t>
  </si>
  <si>
    <t>Высокотехнологические виды медицинской помощи</t>
  </si>
  <si>
    <t>522 01 93</t>
  </si>
  <si>
    <t>522 01 99</t>
  </si>
  <si>
    <t>522 01 97</t>
  </si>
  <si>
    <t>580</t>
  </si>
  <si>
    <t>Межбюджетные трансферты бюджетам территориальных фондов обязательного медицинского страхования</t>
  </si>
  <si>
    <t>522 01 94</t>
  </si>
  <si>
    <t>522 01 80</t>
  </si>
  <si>
    <t>522 01 70</t>
  </si>
  <si>
    <t>522 01 95</t>
  </si>
  <si>
    <t>Обеспечение государственных гарантий по оказанию гражданам Российской Федерации бесплатной медицинской помощи на базе АУ РА "Центр лечебного питания"</t>
  </si>
  <si>
    <t>522 01 96</t>
  </si>
  <si>
    <t>522 01 98</t>
  </si>
  <si>
    <t>413</t>
  </si>
  <si>
    <t>622 91 00</t>
  </si>
  <si>
    <t xml:space="preserve">Субсидии бюджетным учреждениям на иные цели
</t>
  </si>
  <si>
    <t>243</t>
  </si>
  <si>
    <t>Закупка товаров, работ, услуг в целях капитального ремонта государственного имущества</t>
  </si>
  <si>
    <t>Субсидии юридическим лицам (кроме государственных учреждений) и физическим лицам - производителям товаров, работ, услуг</t>
  </si>
  <si>
    <t>РЦП "Перспективная территориальная организация и развитие внутреннего и въездного туризма в Республике Алтай на 2011 - 2016 годы"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</si>
  <si>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</si>
  <si>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870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</si>
  <si>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</si>
  <si>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</si>
  <si>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</si>
  <si>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720</t>
  </si>
  <si>
    <t>Обслуживание государственного долга субъекта Российской Федерации</t>
  </si>
  <si>
    <t>622 80 01</t>
  </si>
  <si>
    <t>530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</si>
  <si>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</si>
  <si>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</si>
  <si>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</si>
  <si>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511</t>
  </si>
  <si>
    <t>512</t>
  </si>
  <si>
    <t>Субсидии, за исключением субсидий на софинансирование объектов капитального строительства муниципальной собственности</t>
  </si>
  <si>
    <t>Школы - детские сады, школы начальные, неполные средние и средние</t>
  </si>
  <si>
    <t>421 00 00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</si>
  <si>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</si>
  <si>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</si>
  <si>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</si>
  <si>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515</t>
  </si>
  <si>
    <t>440 02 00</t>
  </si>
  <si>
    <t>421</t>
  </si>
  <si>
    <t>340</t>
  </si>
  <si>
    <t>Стипендии</t>
  </si>
  <si>
    <t>Публичные нормативные выплаты гражданам несоциального характера</t>
  </si>
  <si>
    <t>505 55 00</t>
  </si>
  <si>
    <t>505 56 00</t>
  </si>
  <si>
    <t>505 57 00</t>
  </si>
  <si>
    <t xml:space="preserve">Культура, кинематография
</t>
  </si>
  <si>
    <t>522 64 00</t>
  </si>
  <si>
    <t>622 10 01</t>
  </si>
  <si>
    <t>Ведомственные  целевые программы</t>
  </si>
  <si>
    <t>622 50 01</t>
  </si>
  <si>
    <t>622 50 02</t>
  </si>
  <si>
    <t>622 50 03</t>
  </si>
  <si>
    <t>622 50 04</t>
  </si>
  <si>
    <t>622 61 00</t>
  </si>
  <si>
    <t xml:space="preserve">Осуществление государственных полномочий в области законодательства об административных правонарушениях </t>
  </si>
  <si>
    <t>Дотация на выравнивание бюджетной обеспеченности муниципальных образований</t>
  </si>
  <si>
    <t>Дотации на поддержку мер по обеспечению сбалансированности местных бюджетов</t>
  </si>
  <si>
    <t>Субсидии на софинансирование объектов капитального строительства муниципальной собственности</t>
  </si>
  <si>
    <t>517 07 01</t>
  </si>
  <si>
    <t>Поощрение достижения наилучших показателей деятельности органов местного самоуправления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</si>
  <si>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</si>
  <si>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Дорожное хозяйство (дорожные фонды)</t>
  </si>
  <si>
    <t>Жилищное хозяйство</t>
  </si>
  <si>
    <t>Оплата расходов на повышение квалификации государственных служащих</t>
  </si>
  <si>
    <t>622 50 00</t>
  </si>
  <si>
    <t>622 50 05</t>
  </si>
  <si>
    <t>622 50 06</t>
  </si>
  <si>
    <t>523</t>
  </si>
  <si>
    <t xml:space="preserve">Предоставление государственных услуг  по комплексной реабилитации детей и подростков с ограниченными возможностями </t>
  </si>
  <si>
    <t xml:space="preserve">Предоставление государственных услуг по  социальной  реабилитации несовершеннолетних, оказавшихся в трудной жизненной  ситуации </t>
  </si>
  <si>
    <t xml:space="preserve"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</t>
  </si>
  <si>
    <t>Предоставление государственных услуг по обслуживанию граждан пожилого возраста  и инвалидов на базе домов-интернатов</t>
  </si>
  <si>
    <t>Предоставление государственных услуг на базе БУ РА "Управление социальной поддержки населения"</t>
  </si>
  <si>
    <t>Долечивание работающих граждан непосредственно после стационарного лечения в санаторно-курортных учреждениях, расположенных на территории Российской Федерации</t>
  </si>
  <si>
    <t>Обеспечение государственных гарантий по оказанию гражданам Российской Федерации бесплатной медицинской помощи на базе БУЗ РА "Усть-Коксинская  центральная районная больница"</t>
  </si>
  <si>
    <t>Обеспечение государственных гарантий по оказанию гражданам Российской Федерации бесплатной медицинской помощи на базе БУЗ РА "Шебалинская центральная районная больница"</t>
  </si>
  <si>
    <t>Обеспечение государственных гарантий по оказанию гражданам Российской Федерации бесплатной медицинской помощи на базе БУЗ РА "Чойская центральная районная больница"</t>
  </si>
  <si>
    <t>Обеспечение государственных гарантий по оказанию гражданам Российской Федерации бесплатной медицинской помощи на базе БУЗ РА "Республиканская детская больница"</t>
  </si>
  <si>
    <t>622 74 00</t>
  </si>
  <si>
    <t>622 71 00</t>
  </si>
  <si>
    <t>622 72 00</t>
  </si>
  <si>
    <t>622 73 00</t>
  </si>
  <si>
    <t>622 75 00</t>
  </si>
  <si>
    <t>622 81 01</t>
  </si>
  <si>
    <t>РЦП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Республике Алтай на 2011-2015 годы"</t>
  </si>
  <si>
    <t>РЦП "Развитие информационного общества в Республике Алтай на 2011-2015 годы"</t>
  </si>
  <si>
    <t>Меры социальной поддержки населения по публичным нормативным обязательствам</t>
  </si>
  <si>
    <t>314</t>
  </si>
  <si>
    <t>522 10 00</t>
  </si>
  <si>
    <t>622 76 00</t>
  </si>
  <si>
    <t>622 32 00</t>
  </si>
  <si>
    <t>622 21 00</t>
  </si>
  <si>
    <t>622 22 00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</si>
  <si>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</si>
  <si>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</si>
  <si>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</si>
  <si>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</si>
  <si>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</si>
  <si>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</si>
  <si>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</si>
  <si>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</si>
  <si>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</si>
  <si>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</si>
  <si>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</si>
  <si>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</si>
  <si>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</si>
  <si>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915</t>
  </si>
  <si>
    <t>916</t>
  </si>
  <si>
    <t>920</t>
  </si>
  <si>
    <t>922</t>
  </si>
  <si>
    <t>924</t>
  </si>
  <si>
    <t>Обеспечение государственных гарантий по оказанию гражданам Российской Федерации бесплатной медицинской помощи на базе БУЗ РА "Республиканская больница"</t>
  </si>
  <si>
    <t xml:space="preserve">Предоставление государственных услуг на базе БУЗ РА "Психиатрическая больница"       </t>
  </si>
  <si>
    <t xml:space="preserve">Предоставление государственных услуг на базе БУЗ РА "Противотуберкулезный диспансер"       </t>
  </si>
  <si>
    <t>Обеспечение государственных гарантий по оказанию гражданам Российской Федерации бесплатной медицинской помощи на базе БУЗ РА "Центр медицины катастроф"</t>
  </si>
  <si>
    <t xml:space="preserve">Предоставление государственных услуг на базе БУЗ РА "Детский противотуберкулезный санаторий"       </t>
  </si>
  <si>
    <t xml:space="preserve">Обеспечение государственных гарантий по оказанию гражданам Российской Федерации бесплатной медицинской помощи на базе БУЗ РА "Медицинский информационно-аналитический центр" </t>
  </si>
  <si>
    <t>Обеспечение государственных гарантий по оказанию гражданам Российской Федерации бесплатной медицинской помощи на базе АУ РА "Автобаза "Медавтотранс"</t>
  </si>
  <si>
    <t xml:space="preserve">Предоставление государственных услуг на базе БУЗ РА "Специализированный    Дом     ребенка  для   детей    с  органическим поражением  центральной       нервной    системы с нарушением  психики"         </t>
  </si>
  <si>
    <t>РЦП "Развитие физической культуры и спорта в Республике Алтай  на 2011-2015 годы"</t>
  </si>
  <si>
    <t xml:space="preserve">РЦП "Комплексные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на 2011 - 2014 годы"
</t>
  </si>
  <si>
    <t>Обеспечение государственных гарантий по оказанию гражданам Российской Федерации бесплатной медицинской помощи на базе БУЗ РА "Центр по профилактике и борьбе со СПИДом и инфекционными заболеваниями"</t>
  </si>
  <si>
    <t xml:space="preserve">Предоставление государственных услуг на базе БУЗ РА "Противотуберкулезный диспансер"  </t>
  </si>
  <si>
    <t>ВЦП "Обеспечение инфекционной безопасности донорской крови и ее компонентов в Республике Алтай на 2013-2015 годы"</t>
  </si>
  <si>
    <t xml:space="preserve">Обеспечение государственных гарантий по оказанию гражданам Российской Федерации бесплатной медицинской помощи на базе БУЗ РА "Бюро судебно-медицинской экспертизы" </t>
  </si>
  <si>
    <t>ВЦП "Сохранение и развитие нематериального наследия Республики Алтай на 2013-2015 годы"</t>
  </si>
  <si>
    <t xml:space="preserve">Субсидии юридическим лицам (кроме государственных учреждений) и физическим лицам - производителям товаров, работ, услуг 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</si>
  <si>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2008-2012 годах на срок до одного года,  сельскохозяйственным товаропроизводителям, организациям агропромышленного комплекса  независимо от их организационно-правовых форм, крестьянским (фермерским) хозяйствам и организациям потребительской кооперации</t>
  </si>
  <si>
    <t>РЦП "Программа повышения эффективности бюджетных расходов Республики Алтай на период до 2013 года"</t>
  </si>
  <si>
    <t>Подпрограмма  "Стимулирование развития жилищного строительства на территории Республики Алтай, в том числе в сельской местности"</t>
  </si>
  <si>
    <t>622 81 03</t>
  </si>
  <si>
    <t>Взнос в уставный капитал открытого акционерного общества "Манжерок"</t>
  </si>
  <si>
    <t>522 80 01</t>
  </si>
  <si>
    <t>Бюджетные инвестиции иным юридическим лицам</t>
  </si>
  <si>
    <t>450</t>
  </si>
  <si>
    <t>622 81 02</t>
  </si>
  <si>
    <t>441</t>
  </si>
  <si>
    <t>Бюджетные инвестиции на приобретение объектов недвижимого имущества казенным учреждениям</t>
  </si>
  <si>
    <t>Научно-исследовательские и опытно-конструкторские работы</t>
  </si>
  <si>
    <t>622 82 02</t>
  </si>
  <si>
    <t>622 82 03</t>
  </si>
  <si>
    <t>ВЦП "Развитие архивного дела в Республике Алтай  на 2013-2015 годы"</t>
  </si>
  <si>
    <t>ВЦП "Обеспечение деятельности Государственного Собрания - Эл Курултай Республики Алтай и его структурных подразделений на 2013-2015 годы"</t>
  </si>
  <si>
    <t>ВЦП "Обеспечение деятельности Правительства Республики Алтай и его структурных подразделений на 2013-2015 годы"</t>
  </si>
  <si>
    <t>ВЦП "Организация мероприятий по защите населения и территории Республики Алтай от чрезвычайных ситуаций на 2013-2015 годы"</t>
  </si>
  <si>
    <t>ВЦП "Обеспечение пожарной безопасности в Республике Алтай на 2013-2015 годы"</t>
  </si>
  <si>
    <t>Вещевое обеспечение вне рамок государственного оборонного заказа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</si>
  <si>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</si>
  <si>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Обслуживание государственного внутреннего и муниципального долга</t>
  </si>
  <si>
    <t>ВЦП "Обеспечение эпизоотического и ветеринарно-санитарного благополучия Республики Алтай на 2013-2015 годы"</t>
  </si>
  <si>
    <t>Субсидии на приобретение минеральных удобрений, средств защиты растений и внесение органических удобрений</t>
  </si>
  <si>
    <t>522 27 01</t>
  </si>
  <si>
    <t>Научно-исследовательские и опытно-конструкторские работы в области сельского хозяйства</t>
  </si>
  <si>
    <t>522 27 03</t>
  </si>
  <si>
    <t>522 27 06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</si>
  <si>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</si>
  <si>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522 27 27</t>
  </si>
  <si>
    <t>522 27 28</t>
  </si>
  <si>
    <t>Мероприятия по предоставлению грантов на развитие семейных животноводческих ферм</t>
  </si>
  <si>
    <t>522 27 36</t>
  </si>
  <si>
    <t>Мероприятия по предоставлению грантов начинающим фермерам</t>
  </si>
  <si>
    <t>522 27 37</t>
  </si>
  <si>
    <t>в т.ч. обеспечение жильем молодых семей и молодых специалистов, проживающих и работающих в сельской местности</t>
  </si>
  <si>
    <t>РЦП "Программа дополнительных мер снижения напряженности на рынке труда Республики Алтай в 2013-2015 годах"</t>
  </si>
  <si>
    <t>522 48 00</t>
  </si>
  <si>
    <t>ВЦП "Содействие занятости населения Республики Алтай на 2013-2015 годы"</t>
  </si>
  <si>
    <t>622 51 00</t>
  </si>
  <si>
    <t>Организация осуществления занятости населения</t>
  </si>
  <si>
    <t>622 51 01</t>
  </si>
  <si>
    <t>Мероприятия по проведению активной политики в области занятости населения</t>
  </si>
  <si>
    <t>622 51 02</t>
  </si>
  <si>
    <t>в том числе мероприятия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</si>
  <si>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Иные выплаты населению</t>
  </si>
  <si>
    <t>360</t>
  </si>
  <si>
    <t xml:space="preserve">Государственная автоматизированная информационная система "Выборы", повышение правовой культуры избирателей и обучение организаторов выборов   
</t>
  </si>
  <si>
    <t>Субсидирование процентных ставок по кредитам, привлеченным в российских кредитных организациях юридическими лицами и индивидуальными предпринимателями, для перевода транспортных средств на использование компримированного природного газа в качестве моторного топлива</t>
  </si>
  <si>
    <t>522 51 06</t>
  </si>
  <si>
    <t>ВЦП "Повышение эффективности управления в сфере дорожного хозяйства на 2013-2015 годы"</t>
  </si>
  <si>
    <t>Пособия и компенсации гражданам и иные социальные выплаты, кроме публичных нормативных обязательств</t>
  </si>
  <si>
    <t>001 67 00</t>
  </si>
  <si>
    <t>522 51 03</t>
  </si>
  <si>
    <t xml:space="preserve">Ведомственные целевые программы </t>
  </si>
  <si>
    <t>ВЦП "Развитие охотничьего хозяйства в Республике Алтай на 2013-2015 годы"</t>
  </si>
  <si>
    <t>622 62 00</t>
  </si>
  <si>
    <t>Обеспечение деятельности Общественной палаты субъекта Российской Федерации</t>
  </si>
  <si>
    <t>ВЦП "Повышение уровня и качества профессионального образования в сфере культуры на 2013-2015 годы"</t>
  </si>
  <si>
    <t>Пособия и компенсации  гражданам и иные социальные выплаты, кроме публичным нормативным обязательствам</t>
  </si>
  <si>
    <t>Рыболовное хозяйство</t>
  </si>
  <si>
    <t>270 00 00</t>
  </si>
  <si>
    <t>Охрана и использование охотничьих ресурсов</t>
  </si>
  <si>
    <t>264 00 00</t>
  </si>
  <si>
    <t>ВЦП "Сохранение национального культурного наследия Республики Алтай на 2013-2015 годы"</t>
  </si>
  <si>
    <t>ВЦП "Повышение уровня и качества предоставления библиотечных услуг на 2013-2015 годы"</t>
  </si>
  <si>
    <t>ВЦП "Расширение спектра культурно-досуговых услуг на 2013-2015 годы"</t>
  </si>
  <si>
    <t xml:space="preserve">ВЦП "Возрождение, сохранение и развитие народных художественных промыслов Республики Алтай на 2013-2015 годы" </t>
  </si>
  <si>
    <t>Премии и гранты</t>
  </si>
  <si>
    <t>350</t>
  </si>
  <si>
    <t>622 77 00</t>
  </si>
  <si>
    <t>Культура, кинематография</t>
  </si>
  <si>
    <t>Учреждения культуры и мероприятия в сфере культуры и кинематографии</t>
  </si>
  <si>
    <t>522 04 00</t>
  </si>
  <si>
    <t>подпрограмма "Сахарный диабет"</t>
  </si>
  <si>
    <t>522 04 01</t>
  </si>
  <si>
    <t>подпрограмма "Неотложные меры борьбы с туберкулезом"</t>
  </si>
  <si>
    <t>522 04 02</t>
  </si>
  <si>
    <t xml:space="preserve">подпрограмма "Вакцинопрофилактика" </t>
  </si>
  <si>
    <t>522 04 03</t>
  </si>
  <si>
    <t>подпрограмма "Неотложные меры по совершенствованию онкологической помощи"</t>
  </si>
  <si>
    <t>522 04 05</t>
  </si>
  <si>
    <t>подпрограмма "Неотложные меры по предупреждению распространения в Республике Алтай заболевания, вызываемого вирусом иммунодефицита человека (Анти-ВИЧ/СПИД)"</t>
  </si>
  <si>
    <t>522 04 04</t>
  </si>
  <si>
    <t>подпрограмма "Неотложные меры по совершенствованию психиатрической помощи"</t>
  </si>
  <si>
    <t>522 04 06</t>
  </si>
  <si>
    <t>подпрограмма "О мерах по предупреждению дальнейшего распространения заболеваний, передающихся преимущественно половым путем"</t>
  </si>
  <si>
    <t>522 04 07</t>
  </si>
  <si>
    <t>подпрограмма "Вирусные гепатиты"</t>
  </si>
  <si>
    <t>522 04 08</t>
  </si>
  <si>
    <t>522 05 00</t>
  </si>
  <si>
    <t>560</t>
  </si>
  <si>
    <t>ВЦП "Организация деятельности и развитие физической культуры и спорта в подведомственных учреждениях Комитета по физической культуре и спорту Республики Алтай на 2013-2015 годы"</t>
  </si>
  <si>
    <t>ВЦП "Подготовка и развитие сборных команд Республики Алтай на 2013-2015 годы"</t>
  </si>
  <si>
    <t>622 33 00</t>
  </si>
  <si>
    <t xml:space="preserve">Осуществление переданных полномочий Российской Федерации в области охраны здоровья граждан       
</t>
  </si>
  <si>
    <t>Социальные выплаты безработным гражданам</t>
  </si>
  <si>
    <t>510 02 01</t>
  </si>
  <si>
    <t>Межбюджетные трансферты бюджету Пенсионного фонда Российской Федерации</t>
  </si>
  <si>
    <t>570</t>
  </si>
  <si>
    <t xml:space="preserve">ВЦП "Повышение эффективности социального обслуживания населения в Республике Алтай на 2013-2015 годы" </t>
  </si>
  <si>
    <t>998 00 00</t>
  </si>
  <si>
    <t>РЦП "Старшее поколение в Республике Алтай на 2011 - 2015 годы"</t>
  </si>
  <si>
    <t>522 37 00</t>
  </si>
  <si>
    <t>522 56 00</t>
  </si>
  <si>
    <t>Обеспечение жильем отдельных категорий граждан, установленных Федеральным законом от 12 января 1995 года                                                       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</si>
  <si>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505 34 01</t>
  </si>
  <si>
    <t>РЦП  "Развитие социально ориентированных некоммерческих организаций в Республике Алтай на 2011 - 2016 годы"</t>
  </si>
  <si>
    <t>522 08 00</t>
  </si>
  <si>
    <t>ВЦП "Обеспечение сбалансированности и устойчивости бюджетной системы Республики Алтай и развитие комплексной автоматизации бюджетного процесса в 2013-2015 годах"</t>
  </si>
  <si>
    <t>ВЦП "Этнокультурное наследие народов Республики Алтай - основа устойчивого развития региона" на 2013-2015 годы</t>
  </si>
  <si>
    <t>522 18 00</t>
  </si>
  <si>
    <t>Дистанционное образование детей-инвалидов</t>
  </si>
  <si>
    <t>Приобретение товаров, работ, услуг в пользу граждан</t>
  </si>
  <si>
    <t>323</t>
  </si>
  <si>
    <t>622 40 01</t>
  </si>
  <si>
    <t>РЦП "Военно-патриотическое воспитание и допризывная подготовка молодежи Республики Алтай на 2013 - 2015 годы"</t>
  </si>
  <si>
    <t>522 91 00</t>
  </si>
  <si>
    <t>РЦП "Комплексные меры профилактики правонарушений и повышения безопасности дорожного движения в Республике Алтай на 2012 - 2014 годы"</t>
  </si>
  <si>
    <t>522 39 00</t>
  </si>
  <si>
    <t>РЦП "Комплексные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на 2011 - 2014 годы"</t>
  </si>
  <si>
    <t>ВЦП "Развитие системы обеспечения психологического здоровья детей и подростков" на 2013-2015 годы</t>
  </si>
  <si>
    <t>622 49 00</t>
  </si>
  <si>
    <t>РЦП "Совершенствование организации школьного питания в Республике Алтай на 2012 - 2015 годы"</t>
  </si>
  <si>
    <t>Субсидии на модернизацию региональных систем общего образования за счет средств республиканского бюджета</t>
  </si>
  <si>
    <t>522 16 02</t>
  </si>
  <si>
    <t>РЦП "Развитие дошкольного образования в Республике Алтай на 2012 - 2015 годы"</t>
  </si>
  <si>
    <t>522 47 00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</si>
  <si>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</si>
  <si>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РЦП "Охрана лесов от пожаров и воспроизводство лесов на территории Республики Алтай на период 2011-2015 годов"</t>
  </si>
  <si>
    <t>522 03 00</t>
  </si>
  <si>
    <t>РЦП "Развитие образования в Республике Алтай  на 2013-2018 годы"</t>
  </si>
  <si>
    <t>ВЦП "Развитие системы среднего профессионального образования на базе бюджетного учреждения среднего профессионального образования Республики Алтай "Медицинское училище" на 2013-2015 годы</t>
  </si>
  <si>
    <t>622 10 05</t>
  </si>
  <si>
    <t>522 76 10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</si>
  <si>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помещений"</t>
  </si>
  <si>
    <t>РЦП "Защита от жестокого обращения и профилактика насилия детей в Республике Алтай на 2013-2016 годы"</t>
  </si>
  <si>
    <t>РЦП "Развитие алтайского языка на 2012-2015 годы"</t>
  </si>
  <si>
    <t>ВЦП "Государственная поддержка национально-культурных и некоммерческих общественных объединений как важнейшее условие построения гражданского общества в Республике Алтай на 2013-2015 годы"</t>
  </si>
  <si>
    <t>ВЦП "Освещение деятельности органов государственной власти Республики Алтай в средствах массовой информации на 2013-2015 годы"</t>
  </si>
  <si>
    <t>РЦП "Развитие малого и среднего предпринимательства в Республике Алтай на 2011-2014 годы"</t>
  </si>
  <si>
    <t xml:space="preserve">РЦП "Комплексные меры профилактики правонарушений и повышения безопасности дорожного движения в Республике Алтай на 2012 - 2014 годы"
</t>
  </si>
  <si>
    <t xml:space="preserve">Физическая культура и спорт
</t>
  </si>
  <si>
    <t xml:space="preserve">Массовый спорт
</t>
  </si>
  <si>
    <t>ВЦП "Развитие физической активности населения Республики Алтай на 2013-2015 годы"</t>
  </si>
  <si>
    <t>622 90 01</t>
  </si>
  <si>
    <t>РЦП "Развитие водохозяйственного комплекса Республики Алтай в 2013-2020 годах"</t>
  </si>
  <si>
    <t xml:space="preserve">622 00 00 </t>
  </si>
  <si>
    <t>622 91 02</t>
  </si>
  <si>
    <t>ВЦП "Повышение эффективности управления и распоряжения государственным имуществом Республики Алтай в 2013-2015 годах"</t>
  </si>
  <si>
    <t>622 83 01</t>
  </si>
  <si>
    <t>ВЦП "Повышение качества оказания услуг и выполнения работ в сфере экологии и охраны окружающей среды подведомственными Министерству лесного хозяйства Республики Алтай государственными учреждениями на 2013-2015 годы"</t>
  </si>
  <si>
    <t>622 63 00</t>
  </si>
  <si>
    <t xml:space="preserve">в том числе предоставление мер социальной поддержки гражданам при ипотечном жилищном кредитовании </t>
  </si>
  <si>
    <t xml:space="preserve">Культура
</t>
  </si>
  <si>
    <t>415</t>
  </si>
  <si>
    <t>Бюджетные инвестиции в объекты государственной собственности автономным учреждениям</t>
  </si>
  <si>
    <t xml:space="preserve">Жилищно-коммунальное хозяйство
</t>
  </si>
  <si>
    <t xml:space="preserve">Коммунальное хозяйство
</t>
  </si>
  <si>
    <t>софинансирование ФЦП "Социальное развитие села до 2013 года"</t>
  </si>
  <si>
    <t xml:space="preserve">Образование
</t>
  </si>
  <si>
    <t xml:space="preserve">Общее образование
</t>
  </si>
  <si>
    <t xml:space="preserve">РЦП "Повышение устойчивости жилых домов, основных объектов и систем жизнеобеспечения в Республике Алтай на 2010 - 2015 годы"
</t>
  </si>
  <si>
    <t xml:space="preserve">РЦП "Экономическое и социальное развитие коренных малочисленных народов Республики Алтай до 2015 года"
</t>
  </si>
  <si>
    <t xml:space="preserve">РЦП "Развитие агропромышленного комплекса Республики Алтай на 2011 - 2017 годы"
</t>
  </si>
  <si>
    <t xml:space="preserve">РЦП "Демографическое развитие Республики Алтай на 2010 - 2015 годы"
</t>
  </si>
  <si>
    <t xml:space="preserve">Дошкольное образование
</t>
  </si>
  <si>
    <t xml:space="preserve">РЦП "Развитие дошкольного образования в Республике Алтай на 2012 - 2015 годы"
</t>
  </si>
  <si>
    <t>522 15 30</t>
  </si>
  <si>
    <t xml:space="preserve">РЦП "Культура Республики Алтай на 2011 - 2016 годы"
</t>
  </si>
  <si>
    <t xml:space="preserve">РЦП "Чистая вода Республики Алтай на 2010 - 2013 годы"
</t>
  </si>
  <si>
    <t>ВЦП "Улучшение условий и охраны труда в Республике Алтай на 2013-2015 годы"</t>
  </si>
  <si>
    <t>ВЦП "Повышение качества жизни детей и семей с детьми в Республике Алтай на 2013-2015 годы"</t>
  </si>
  <si>
    <t>622 52 01</t>
  </si>
  <si>
    <t>622 52 02</t>
  </si>
  <si>
    <t>Мероприятия по созданию региональной государственной информационной системы в области энергосбережения и повышения энергетической эффективности в Республике Алтай</t>
  </si>
  <si>
    <t>522 51 05</t>
  </si>
  <si>
    <t>РЦП "Предупреждение и борьба с социально значимыми заболеваниями в Республике Алтай на 2012 - 2016 годы"</t>
  </si>
  <si>
    <t>522 51 09</t>
  </si>
  <si>
    <t xml:space="preserve">Благоустройство
</t>
  </si>
  <si>
    <t>522 96 09</t>
  </si>
  <si>
    <t xml:space="preserve">Мероприятие "Самый благоустроенный населенный пункт Республики Алтай"
</t>
  </si>
  <si>
    <t>522 96 12</t>
  </si>
  <si>
    <t>Мероприятие "Подготовка и утверждение региональных нормативов градостроительного проектирования Республики Алтай"</t>
  </si>
  <si>
    <t xml:space="preserve">Связь и информатика
</t>
  </si>
  <si>
    <t>522 25 00</t>
  </si>
  <si>
    <t xml:space="preserve">РЦП "Внедрение систем мониторинга на базе технологий ГЛОНАСС на предприятиях бюджетной сферы, транспортного обслуживания населения, жилищно-коммунального хозяйства Республики Алтай на 2011 - 2015 годы в интересах социально-экономического развития Республики Алтай"
</t>
  </si>
  <si>
    <t>ВЦП "Обеспечение технического состояния самоходной техники, тракторов, дорожно-строительных машин, прицепов к ним и другой техники в инспекции Гостехнадзора Республики Алтай на 2013-2015 годы"</t>
  </si>
  <si>
    <t>622 32 01</t>
  </si>
  <si>
    <t>ВЦП "Совершенствование системы комплексного планирования и содействие проведению социально-экономических реформ на 2013-2015 годы"</t>
  </si>
  <si>
    <t>ВЦП "Создание условий для развития инвестиционного, инновационного и имиджевого потенциала Республики Алтай на 2013-2015 годы"</t>
  </si>
  <si>
    <t>ВЦП "Развитие системы дополнительного образования детей в учреждениях спортивной направленности" на 2013-2015 годы</t>
  </si>
  <si>
    <t xml:space="preserve">ВЦП "Развитие системы содержания и обучения детей в общеобразовательных учреждениях Республики Алтай" на 2013-2015 годы </t>
  </si>
  <si>
    <t>ВЦП "Развитие системы дополнительного образования детей" на 2013-2015 годы</t>
  </si>
  <si>
    <t>ВЦП "Молодежь Алтая" на 2013-2015 годы</t>
  </si>
  <si>
    <t>ВЦП "Развитие профессионального образования в Республике Алтай" на 2013-2015 годы</t>
  </si>
  <si>
    <t>ВЦП "Развитие и совершенствование системы повышения квалификации педагогических работников Республики Алтай" на 2013-2015 годы</t>
  </si>
  <si>
    <t xml:space="preserve">ВЦП "Развитие системы дополнительного образования детей" на 2013-2015 годы </t>
  </si>
  <si>
    <t>ВЦП "Развитие системы объективной оценки качества образования в Республике Алтай" на 2013 - 2015 годы</t>
  </si>
  <si>
    <t>РЦП "Жилище" на 2011 - 2015 годы</t>
  </si>
  <si>
    <t>АВЦП "Повышение эффективности государственного управления в Комитете по физической  культуре и спорту Республики Алтай на 2013-2015 годы"</t>
  </si>
  <si>
    <t>АВЦП «Повышение эффективности государственного управления в Министерстве образования, науки и молодежной политики Республики Алтай» на 2013 – 2015 годы</t>
  </si>
  <si>
    <t xml:space="preserve">РЦП "Формирование здорового образа жизни у населения Республики Алтай, включая сокращение потребления алкоголя и табака на 2013 - 2016 годы" </t>
  </si>
  <si>
    <t>Прочие расходы</t>
  </si>
  <si>
    <t>622 10 02</t>
  </si>
  <si>
    <t>622 10 07</t>
  </si>
  <si>
    <t>АВЦП "Повышение эффективности государственного управления в Министерстве здравоохранения Республики Алтай на 2013-2015 годы"</t>
  </si>
  <si>
    <t>522 16 09</t>
  </si>
  <si>
    <t>Основные мероприятия в рамках РЦП «Развитие образования в Республике Алтай на 2013-2018 годы»</t>
  </si>
  <si>
    <t>Привлечение в общеобразовательные учреждения молодых специалистов (установление доплаты молодым специалистам)</t>
  </si>
  <si>
    <t>522 16 05</t>
  </si>
  <si>
    <t>522 16 04</t>
  </si>
  <si>
    <t>в том числе субсидии на возмещение части затрат в связи с предоставлением учителям общеобразовательных учреждений ипотечного кредита</t>
  </si>
  <si>
    <t>622 40 03</t>
  </si>
  <si>
    <t>622 40 02</t>
  </si>
  <si>
    <t>ВЦП «Развитие системы социальной поддержки детей-сирот и детей, оставшихся без попечения родителей, лиц из  числа детей-сирот и детей, оставшихся без попечения родителей»  на 2013-2015 годы</t>
  </si>
  <si>
    <t>Мероприятия по прединвестиционной подготовке  проектов и мероприятий в области энергосбережения и повышения энергетической эффективности</t>
  </si>
  <si>
    <t>(тыс. рублей)</t>
  </si>
  <si>
    <t>Охрана и использование объектов животного мира</t>
  </si>
  <si>
    <t>Мероприятия по реализации указов Президента Российской Федерации от 07.05.2012 года</t>
  </si>
  <si>
    <t>Обеспечение жильем отдельных категорий граждан, установленных федеральными законами от 12 января 1995 года № 5-ФЗ                               "О ветеранах" и от 24 ноября 1995 года № 181-ФЗ                                            "О социальной защите инвалидов в Российской Федерации"</t>
  </si>
  <si>
    <t>Взносы в межрегиональные организации</t>
  </si>
  <si>
    <t>Охрана и использование объектов животного мира (за исключением охотничьих ресурсов и водных биологических ресурсов)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</si>
  <si>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организациях, и займам, полученным в сельскохозяйственных кредитных кооперативах в 2004-2012 годах на срок от 2 до 10 лет</t>
  </si>
  <si>
    <t>505 09 02</t>
  </si>
  <si>
    <t>505 09 00</t>
  </si>
  <si>
    <t>Социальная поддержка Героев Социалистического Труда и полных кавалеров ордена Трудовой Славы</t>
  </si>
  <si>
    <t xml:space="preserve">Пособия и компенсации гражданам и иные социальные выплаты, кроме публичных нормативных обязательств
</t>
  </si>
  <si>
    <t>510 03 00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</si>
  <si>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</si>
  <si>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520 09 00</t>
  </si>
  <si>
    <t>Ежемесячное денежное вознаграждение за классное руководство</t>
  </si>
  <si>
    <t>520 00 00</t>
  </si>
  <si>
    <t>520 20 00</t>
  </si>
  <si>
    <t>Иные безвозмездные и безвозвратные перечисления</t>
  </si>
  <si>
    <t>Отдельные полномочия в области обеспечения лекарственными препаратами</t>
  </si>
  <si>
    <t>100 88 20</t>
  </si>
  <si>
    <t>100 88 00</t>
  </si>
  <si>
    <t>ФЦП "Жилище" на 2011-2015 годы</t>
  </si>
  <si>
    <t>Подпрограмма "Обеспечение жильем молодых семей"</t>
  </si>
  <si>
    <t>485 00 00</t>
  </si>
  <si>
    <t>485 05 00</t>
  </si>
  <si>
    <t>485 04 00</t>
  </si>
  <si>
    <t>485 20 00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</si>
  <si>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</si>
  <si>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</si>
  <si>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Закупки оборудования и расходных материалов для неонатального и аудиологического скрининга</t>
  </si>
  <si>
    <t>Мероприятия по пренатальной (дородовой) диагностике</t>
  </si>
  <si>
    <t>485 14 00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</si>
  <si>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</si>
  <si>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505 03 00</t>
  </si>
  <si>
    <t>505 03 02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</si>
  <si>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</si>
  <si>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436 21 00</t>
  </si>
  <si>
    <t>Модернизация региональных систем общего образования</t>
  </si>
  <si>
    <t>520 11 00</t>
  </si>
  <si>
    <t>Поощрение лучших учителей</t>
  </si>
  <si>
    <t>622 30 00</t>
  </si>
  <si>
    <t>ВЦП "Развитие массового спорта в Республике Алтай на 2013-2015 годы"</t>
  </si>
  <si>
    <t>001 10 00</t>
  </si>
  <si>
    <t>001 12 00</t>
  </si>
  <si>
    <t>527 00 00</t>
  </si>
  <si>
    <t>Поддержка экономического и социального развития коренных малочисленных народов Севера, Сибири и Дальнего Востока</t>
  </si>
  <si>
    <t>260 00 00</t>
  </si>
  <si>
    <t>260 03 00</t>
  </si>
  <si>
    <t>260 05 00</t>
  </si>
  <si>
    <t>260 09 00</t>
  </si>
  <si>
    <t>260 10 00</t>
  </si>
  <si>
    <t>260 12 00</t>
  </si>
  <si>
    <t>260 13 00</t>
  </si>
  <si>
    <t>260 14 00</t>
  </si>
  <si>
    <t>260 16 00</t>
  </si>
  <si>
    <t>260 17 00</t>
  </si>
  <si>
    <t>260 20 00</t>
  </si>
  <si>
    <t>260 21 00</t>
  </si>
  <si>
    <t>260 25 00</t>
  </si>
  <si>
    <t>260 30 00</t>
  </si>
  <si>
    <t>Возмещение части затрат на раскорчевку выбывших из эксплуатации старых садов и рекультивацию раскорчеванных площадей</t>
  </si>
  <si>
    <t>Возмещение части затрат на закладку и уход за многолетними плодовыми и ягодными насаждениями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</si>
  <si>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</si>
  <si>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</si>
  <si>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Оказание несвязанной поддержки сельскохозяйственным товаропроизводителям в области растениеводства</t>
  </si>
  <si>
    <t>Поддержка племенного животноводства</t>
  </si>
  <si>
    <t>Субсидии на 1 литр реализованного товарного молока</t>
  </si>
  <si>
    <t>Возмещение части затрат по наращиванию маточного поголовья овец и коз</t>
  </si>
  <si>
    <t>Возмещение части затрат по наращиванию поголовья северных оленей, маралов и мясных табунных лошадей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</si>
  <si>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</si>
  <si>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</si>
  <si>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Поддержка племенного крупного рогатого скота мясного направления</t>
  </si>
  <si>
    <t>Государственная поддержка сельского хозяйства</t>
  </si>
  <si>
    <t>ВЦП "Организация тренировочного процесса спортсменов высокого класса в автономном образовательном учреждении Республики Алтай "Школа высшего спортивного мастерства - Центр спортивной подготовки сборных команд Республики Алтай" на 2013-2015 годы"</t>
  </si>
  <si>
    <t>622 23 00</t>
  </si>
  <si>
    <t>ВЦП "Реконструкция территориальной автоматизированной системы централизованного оповещения населения Республики Алтай на 2013-2015 годы"</t>
  </si>
  <si>
    <t>345 00 00</t>
  </si>
  <si>
    <t>345 01 00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</si>
  <si>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</si>
  <si>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</si>
  <si>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РЦП "Комплексные меры профилактики правонарушений и повышения безопасности дорожного движения в Республике Алтай на 2012-2014 годы"</t>
  </si>
  <si>
    <t>622 10 06</t>
  </si>
  <si>
    <t>ВЦП "Профилактика и лечение артериальной гипертонии в Республике Алтай на 2012-2014 годы"</t>
  </si>
  <si>
    <t>522 15 40</t>
  </si>
  <si>
    <t>РЦП "Схема и развитие электроэнергетики Республики Алтай на 2012-2016 годы"</t>
  </si>
  <si>
    <t xml:space="preserve">Бюджетные инвестиции в объекты государственной собственности казенным учреждениям вне рамок государственного оборонного заказа
</t>
  </si>
  <si>
    <t>096 00 00</t>
  </si>
  <si>
    <t>096 01 00</t>
  </si>
  <si>
    <t xml:space="preserve"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
</t>
  </si>
  <si>
    <t xml:space="preserve"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
</t>
  </si>
  <si>
    <t>522 56 01</t>
  </si>
  <si>
    <t>РЦП "Защита от жестокого обращения и профилактика насилия детей в Республике Алтай на 2013-2016 годы" за счет средств Фонда поддержки детей, находящихся в трудной жизненной ситуации</t>
  </si>
  <si>
    <t>522 72 01</t>
  </si>
  <si>
    <t>РЦП "Социальная адаптация граждан, освобожденных из мест лишения свободы, в  Республике  Алтай на 2013-2017 годы" за счет средств Фонда поддержки детей, находящихся в трудной жизненной ситуации</t>
  </si>
  <si>
    <t>100 11 00</t>
  </si>
  <si>
    <t>ФЦП "Социальное развитие села до 2013 года"</t>
  </si>
  <si>
    <t>098 00 00</t>
  </si>
  <si>
    <t>098 02 00</t>
  </si>
  <si>
    <t>098 02 01</t>
  </si>
  <si>
    <t>098 02 02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</si>
  <si>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</si>
  <si>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</si>
  <si>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</si>
  <si>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</si>
  <si>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522 27 07</t>
  </si>
  <si>
    <t xml:space="preserve">522 27 08 </t>
  </si>
  <si>
    <t>522 27 08</t>
  </si>
  <si>
    <t>522 27 09</t>
  </si>
  <si>
    <t>522 27 10</t>
  </si>
  <si>
    <t>522 27 17</t>
  </si>
  <si>
    <t>522 27 29</t>
  </si>
  <si>
    <t>522 27 30</t>
  </si>
  <si>
    <t>522 27 39</t>
  </si>
  <si>
    <t>522 27 43</t>
  </si>
  <si>
    <t>522 72 00</t>
  </si>
  <si>
    <t xml:space="preserve">РЦП "Социальная адаптация граждан, освобожденных из мест лишения свободы, в  Республике  Алтай на 2013-2017 годы" </t>
  </si>
  <si>
    <t>522 87 00</t>
  </si>
  <si>
    <t>РЦП "Культура и искусство - детям на 2013-2018 годы"</t>
  </si>
  <si>
    <t>522 27 40</t>
  </si>
  <si>
    <t xml:space="preserve">Взнос в  уставной капитал открытого акционерного общества «Алтайская Республиканская Лизинговая Компания» 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</si>
  <si>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</si>
  <si>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</si>
  <si>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505 36 03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</si>
  <si>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республиканского бюджета</t>
  </si>
  <si>
    <t xml:space="preserve">РП  "Модернизация здравоохранения Республики Алтай на 2011 - 2013 годы"
</t>
  </si>
  <si>
    <t>Подпрограмма  "Энергосбережение  в государственных учреждениях (муниципальных учреждениях) Республики Алтай"</t>
  </si>
  <si>
    <t>ВЦП "Повышение эффективности и адресности оказания мер социальной поддержки отдельным категориям граждан в Республике Алтай на 2012-2014 годы"</t>
  </si>
  <si>
    <t>522 96 05</t>
  </si>
  <si>
    <t>Подпрограмма "Развитие арендного жилья в Республике Алтай на 2013-2015 годы"</t>
  </si>
  <si>
    <t>ВЦП  "Обеспечение отдельных категорий граждан Республики Алтай лекарственными препаратами и изделиями медицинского назначения на 2013 - 2015 годы"</t>
  </si>
  <si>
    <t>622 10 09</t>
  </si>
  <si>
    <t>622 10 08</t>
  </si>
  <si>
    <t>ВЦП "Повышение квалификации медицинских кадров, устранение дефицита медицинских кадров и социальная поддержка медицинских работников на 2013-2017 годы"</t>
  </si>
  <si>
    <t>622 13 02</t>
  </si>
  <si>
    <t>442</t>
  </si>
  <si>
    <t>Бюджетные инвестиции на приобретение объектов недвижимого имущества бюджетным учреждениям</t>
  </si>
  <si>
    <t>622 11 02</t>
  </si>
  <si>
    <t>622 12 02</t>
  </si>
  <si>
    <t>622 14 02</t>
  </si>
  <si>
    <t>ВЦП "Обеспечение отдельных категорий граждан Республики Алтай лекарственными препаратами и изделиями медицинского назначения на 2013-2015 годы"</t>
  </si>
  <si>
    <t>Мероприятия по пренатальной (дородовой) диагностике за счет средств республиканского бюджета Республики Алтай</t>
  </si>
  <si>
    <t>Мероприятия по закупке оборудования и расходных материалов для неонатального и аудиологического скрининга за счет средств республиканского бюджета Республики Алтай</t>
  </si>
  <si>
    <t>Мероприятия по осуществлению организационных мероприятий по обеспечению граждан лекарственными препаратами, предназначенными для лечения больных злокачественными  новообразованиями лимфоидной, кроветворной и  родственных  им  тканей, гемофилией, муковисцидозом, гипофизарным  нанизмом,  болезнью   Гоше,   рассеянным  склерозом, а также после  трансплантации  органов и (или) тканей за счет средств республиканского бюджета Республики Алтай</t>
  </si>
  <si>
    <t>Оказание несвязанной поддержки сельскохозяйственным товаропроизводителям в области растениеводства за счет средств республиканского бюджета</t>
  </si>
  <si>
    <t>Возмещение части затрат по наращиванию маточного поголовья овец и коз за счет средств республиканского бюджета</t>
  </si>
  <si>
    <t>Субсидии на 1 литр реализованного товарного молока за счет средств республиканского бюджета</t>
  </si>
  <si>
    <t>Поддержка экономически значимых программ в области животноводства за счет средств республиканского бюджета</t>
  </si>
  <si>
    <t>Поддержка племенного животноводства за счет средств республиканского бюджета</t>
  </si>
  <si>
    <t>Возмещение части затрат по наращиванию поголовья северных оленей, маралов и мясных табунных лошадей за счет средств республиканского бюджета</t>
  </si>
  <si>
    <t>Субсидии на поддержку племенных заводов и репродукторов генофондных хозяйств Республики Алтай, на содержание маточного поголовья и приобретение племенного молодняка сельхозживотных за счет средств республиканского бюджета</t>
  </si>
  <si>
    <t>Поддержка экономически значимых региональных программ по развитию мясного скотоводства за счет средств республиканского бюджета</t>
  </si>
  <si>
    <t>Поддержка племенного крупного рогатого скота мясного направления за счет средств республиканского бюджета</t>
  </si>
  <si>
    <t>Возмещение части затрат на закладку и уход за многолетними плодовыми и ягодными насаждениями за счет средств республиканского бюджета</t>
  </si>
  <si>
    <t>Возмещение части затрат на раскорчевку выбывших из эксплуатации старых садов и рекультивацию раскорчеванных площадей за счет средств республиканского бюджета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</si>
  <si>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республиканского бюджета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</si>
  <si>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республиканского бюджета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</si>
  <si>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республиканского бюджета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</si>
  <si>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республиканского бюджета</t>
  </si>
  <si>
    <t>622 53 00</t>
  </si>
  <si>
    <t>РП  "Модернизация здравоохранения Республики Алтай на 2011 - 2013 годы"</t>
  </si>
  <si>
    <t>Территориальная программа государственных гарантий бесплатного оказания гражданам медицинской помощи на 2013 год и на плановый период 2014 и 2015 годов на территории Республики Алтай</t>
  </si>
  <si>
    <t>622 83 02</t>
  </si>
  <si>
    <t>ВЦП "Повышение эффективности использования земельных участков в 2013-2015 годах"</t>
  </si>
  <si>
    <t>Прочие мероприятия, осуществляемые за счет межбюджетных трансфертов прошлых лет из федерального бюджета</t>
  </si>
  <si>
    <t>070 02 00</t>
  </si>
  <si>
    <t>Резервный фонд Президента Российской Федерации</t>
  </si>
  <si>
    <t>997 00 00</t>
  </si>
  <si>
    <t>436 14 00</t>
  </si>
  <si>
    <t>100 90 99</t>
  </si>
  <si>
    <t>100 90 00</t>
  </si>
  <si>
    <t>Государственная программа Российской Федерации "Доступная среда" на 2011-2015 годы</t>
  </si>
  <si>
    <t>Реализация мероприятий государственной программы Российской Федерации "Доступная среда" на 2011-2015 годы</t>
  </si>
  <si>
    <t>260 28 00</t>
  </si>
  <si>
    <t>260 29 00</t>
  </si>
  <si>
    <t xml:space="preserve">Поддержка начинающих фермеров </t>
  </si>
  <si>
    <t>Развитие семейных животноводческих ферм</t>
  </si>
  <si>
    <t>522 95 00</t>
  </si>
  <si>
    <t>РЦП "Отходы (2011-2015 годы)"</t>
  </si>
  <si>
    <t>622 40 04</t>
  </si>
  <si>
    <t xml:space="preserve">ВЦП "Развитие системы подготовки населения в области гражданской обороны и чрезвычайных ситуаций" </t>
  </si>
  <si>
    <t>260 31 00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</si>
  <si>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</si>
  <si>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098 01 01</t>
  </si>
  <si>
    <t xml:space="preserve">Обеспечение мероприятий по капитальному ремонту многоквартирных домов </t>
  </si>
  <si>
    <t>098 01 02</t>
  </si>
  <si>
    <t>485 08 00</t>
  </si>
  <si>
    <t>Совершенствование организации медицинской помощи пострадавшим при дорожно-транспортных происшествиях</t>
  </si>
  <si>
    <t>622 80 04</t>
  </si>
  <si>
    <t>ВЦП "Повышение финансовой грамотности жителей Республики Алтай в 2013-2015 годах"</t>
  </si>
  <si>
    <t>Экологический контроль</t>
  </si>
  <si>
    <t>522 01 60</t>
  </si>
  <si>
    <t>100 12 99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</si>
  <si>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</si>
  <si>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100 12 00</t>
  </si>
  <si>
    <t>ФЦП "Развитие водохозяйственного комплекса Российской Федерации в 2012 - 2020 годах"</t>
  </si>
  <si>
    <t xml:space="preserve">Обеспечение государственных гарантий по оказанию гражданам Российской Федерации бесплатной медицинской помощи на базе АУЗ РА "Республиканская стоматологическая поликлиника" </t>
  </si>
  <si>
    <t>002 34 00</t>
  </si>
  <si>
    <t>Обеспечение деятельности Уполномоченного по защите прав предпринимателей в Республике Алтай</t>
  </si>
  <si>
    <t>100 11 99</t>
  </si>
  <si>
    <t>Реализация мероприятий федеральной целевой программы "Социальное развитие села до 2013 года"</t>
  </si>
  <si>
    <t xml:space="preserve">527 00 00 </t>
  </si>
  <si>
    <t>436 27 00</t>
  </si>
  <si>
    <t>Модернизация региональных систем дошкольного образования</t>
  </si>
  <si>
    <t>622 54 01</t>
  </si>
  <si>
    <t>ВЦП "Социальная поддержка семей с детьми, находящихся в трудной жизненной ситуации на 2013-2015 годы" за счет средств Фонда поддержки детей, находящихся в трудной жизненной ситуации</t>
  </si>
  <si>
    <t>514 20 00</t>
  </si>
  <si>
    <t>Мероприятия по поддержке социально ориентированных некоммерческих организаций</t>
  </si>
  <si>
    <t>514 00 00</t>
  </si>
  <si>
    <t>Реализация государственных функций в области социальной политики</t>
  </si>
  <si>
    <t>522 27 19</t>
  </si>
  <si>
    <t>Субсидии на поддержку пантового оленеводства</t>
  </si>
  <si>
    <t>001 38 20</t>
  </si>
  <si>
    <t>Государственная регистрация актов гражданского состояния  за счет средств республиканского бюджета</t>
  </si>
  <si>
    <t>260 26 00</t>
  </si>
  <si>
    <t>Поддержка экономически значимых региональных программ по развитию мясного скотоводства</t>
  </si>
  <si>
    <t>522 27 05</t>
  </si>
  <si>
    <t>Пилотный проект "Комплексная компактная застройка и благоустройство сельских поселений"</t>
  </si>
  <si>
    <t>522 99 00</t>
  </si>
  <si>
    <t>РЦП «Создание системы обеспечения вызова экстренных оперативных служб на территории Республики Алтай по единому номеру «112» на 2013-2017 годы»</t>
  </si>
  <si>
    <t xml:space="preserve"> 100 11 99</t>
  </si>
  <si>
    <t>436 25 00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</si>
  <si>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</si>
  <si>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522 01 31</t>
  </si>
  <si>
    <t>Обеспечение государственных гарантий по оказанию гражданам Российской Федерации бесплатной медицинской помощи на базе БУЗ РА "Чемальская центральная районная больница"</t>
  </si>
  <si>
    <t>267 05 14</t>
  </si>
  <si>
    <t>Поддержка экономически значимых региональных программ</t>
  </si>
  <si>
    <t>260 40 00</t>
  </si>
  <si>
    <t>Субсидии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яиц, в связи с удорожанием приобретенных кормов</t>
  </si>
  <si>
    <t>ФЦП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</si>
  <si>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100 82 00</t>
  </si>
  <si>
    <t>100 82 99</t>
  </si>
  <si>
    <t>Реализация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</si>
  <si>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Программа "Энергосбережение и повышение энергетической эффективности на период до 2020 года"</t>
  </si>
  <si>
    <t>092 34 00</t>
  </si>
  <si>
    <t>440 16 01</t>
  </si>
  <si>
    <t>440 16 00</t>
  </si>
  <si>
    <t>440 16 02</t>
  </si>
  <si>
    <t>Государственная поддержка муниципальных учреждений культуры, находящихся на территориях сельских поселений, и их работников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</si>
  <si>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</si>
  <si>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</si>
  <si>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100 89 00</t>
  </si>
  <si>
    <t>100 89 99</t>
  </si>
  <si>
    <t>Федеральная целевая программа развития образования на 2011 - 2015 годы</t>
  </si>
  <si>
    <t>Реализация мероприятий федеральной целевой программы развития образования на 2011 - 2015 годы</t>
  </si>
  <si>
    <t>ФЦП "Развитие внутреннего и въездного туризма в Российской Федерации (2011 - 2018 годы)"</t>
  </si>
  <si>
    <t>100 98 00</t>
  </si>
  <si>
    <t>100 98 99</t>
  </si>
  <si>
    <t>Реализация мероприятий федеральной целевой программы "Развитие внутреннего и въездного туризма в Российской Федерации (2011 - 2018 годы)"</t>
  </si>
  <si>
    <t>436 24 00</t>
  </si>
  <si>
    <t>Возмещение части затрат в связи с предоставлением учителям общеобразовательных учреждений ипотечного кредита</t>
  </si>
  <si>
    <t>в т.ч. Развитие молочного скотоводства Республики Алтай</t>
  </si>
  <si>
    <t>в т.ч. Развитие мясного скотоводства Республики Алтай</t>
  </si>
  <si>
    <t>522 01 25</t>
  </si>
  <si>
    <t>Обеспечение государственных гарантий по оказанию гражданам Российской Федерации бесплатной медицинской помощи на базе БУЗ РА "Онгудайская центральная районная больница"</t>
  </si>
  <si>
    <t>505 21 02</t>
  </si>
  <si>
    <t>622 64 00</t>
  </si>
  <si>
    <t>ВЦП "Обеспечение экологической безопасности в Республике Алтай на 2013-2015 годы"</t>
  </si>
  <si>
    <t>РЦП "Доступная среда на 2013 - 2015 годы"</t>
  </si>
  <si>
    <t>ВЦП "Поддержка научно-исследовательских проектов в Республике Алтай" на 2013 - 2015 годы</t>
  </si>
  <si>
    <t>505 17 03</t>
  </si>
  <si>
    <t>Единовременные компенсационные выплаты медицинским работникам</t>
  </si>
  <si>
    <t>505 17 00</t>
  </si>
  <si>
    <t>487 00 00</t>
  </si>
  <si>
    <t>487 02 00</t>
  </si>
  <si>
    <t>Реализация государственных функций в области физической культуры и спорта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</si>
  <si>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</si>
  <si>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ФЦП "Развитие физической культуры и спорта в Российской Федерации на 2006 - 2015 годы"</t>
  </si>
  <si>
    <t>100 58 00</t>
  </si>
  <si>
    <t>Расходы общепрограммного характера по ФЦП "Развитие физической культуры и спорта в Российской Федерации на 2006 - 2015 годы"</t>
  </si>
  <si>
    <t>100 58 02</t>
  </si>
  <si>
    <t xml:space="preserve">Бюджетные инвестиции в объекты государственной собственности автономным учреждениям
</t>
  </si>
  <si>
    <t>Мероприятия в области санитарно-эпидемиологического надзора</t>
  </si>
  <si>
    <t>481 00 00</t>
  </si>
  <si>
    <t>481 04 00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</si>
  <si>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</si>
  <si>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260 01 00</t>
  </si>
  <si>
    <t>Возмещение части затрат на приобретение элитных семян</t>
  </si>
  <si>
    <t>260 18 00</t>
  </si>
  <si>
    <t>Поддержка экономически значимых региональных программ в области животноводства</t>
  </si>
  <si>
    <t>322</t>
  </si>
  <si>
    <t>Субсидии гражданам на приобретение жилья</t>
  </si>
  <si>
    <t>Утверждено законом  на 2013 год</t>
  </si>
  <si>
    <t>Уточненный план</t>
  </si>
  <si>
    <t>Исполнено</t>
  </si>
  <si>
    <t>Процент исполнения</t>
  </si>
  <si>
    <t>Изменения</t>
  </si>
  <si>
    <t>Итого с изменения-    ми 2013 год</t>
  </si>
  <si>
    <t>ВЦП "Социальная поддержка детей-сирот и детей, оставшихся без попечения родителей, а также лиц из числа детей-сирот и детей, оставшихся без попечения родителей обучающихся в бюджетном учреждении среднего профессиональногообразования Республики Алтай "Медицинское училище" на 2013-2015 годы"</t>
  </si>
  <si>
    <t>Мероприятия по  финансовому обеспечение закупок диагностических средств для выявления и мониторинга лечения и антивирусных препаратов для профилактики и лечения лиц, инфицированных вирусами иммунодефицита человека и гепатитов B и C за счет средств республиканского бюджета Республики Алтай</t>
  </si>
  <si>
    <t>Федеральный закон от 17 июля 1999 года № 178-ФЗ "О государственной социальной помощи"</t>
  </si>
  <si>
    <t>Мероприятия по финансовому обеспечение закупок диагностических средств для выявления и мониторинга лечения и антивирусных препаратов для профилактики и лечения лиц, инфицированных вирусами иммунодефицита человека и гепатитов B и C за счет средств республиканского бюджета Республики Алтай</t>
  </si>
  <si>
    <t>Федеральный закон от 29 ноября 2010 года № 326-ФЗ "Об обязательном медицинском страховании в Российской Федерации"</t>
  </si>
  <si>
    <t xml:space="preserve">Межбюджетные трансферты бюджету Федерального фонда
обязательного медицинского страхования
</t>
  </si>
  <si>
    <t xml:space="preserve"> Мероприятия в области образования</t>
  </si>
  <si>
    <t>Возмещение части прцентной ставки по долгосрочным, среднесрочным и краткосрочным кредитам, взятым малыми формами хозяйствования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</si>
  <si>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республиканского бюджета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</si>
  <si>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</si>
  <si>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предоставление государственных услуг по улучшению социального обслуживания населения на базе АУ РА "Комплексный центр социального обслуживания населения РА"</t>
  </si>
  <si>
    <t>Федеральный закон от 9 января 1997 года № 5-ФЗ "О предоставлении социальных гарантий Героям Социалистического Труда и полным кавалерам ордена Трудовой Славы"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</si>
  <si>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 Федерации за счет средств республиканского бюджета</t>
  </si>
  <si>
    <t xml:space="preserve"> Депутаты Государственной Думы и их помощники</t>
  </si>
  <si>
    <t xml:space="preserve"> Члены Совета Федерации и их помощники</t>
  </si>
  <si>
    <t>514 41 00</t>
  </si>
  <si>
    <t xml:space="preserve"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казанием адресной социальной помощи неработающим пенсионерам
</t>
  </si>
  <si>
    <t>440 09 00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</si>
  <si>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
</t>
  </si>
  <si>
    <t>181 03 99</t>
  </si>
  <si>
    <t xml:space="preserve">Реализация мероприятий подпрограммы "Автомобильные дороги"                              
</t>
  </si>
  <si>
    <t xml:space="preserve">Другие вопросы в области здравоохранения
</t>
  </si>
  <si>
    <t>102 01 01</t>
  </si>
  <si>
    <t xml:space="preserve">Бюджетные инвестиции в объекты капитального строительства государственной собственности субъектов Российской Федерации
</t>
  </si>
  <si>
    <t>Ведомственная  структура расходов республиканского бюджета Республики Алтай за 2013 год</t>
  </si>
  <si>
    <t>Приложение 4</t>
  </si>
  <si>
    <t>к Закону Республики Алтай "Об исполнении республиканского бюджета Республики Алтай за 2013год"</t>
  </si>
  <si>
    <t>Приложение 3</t>
  </si>
  <si>
    <t>Расходы республиканского бюджета Республики Алтай по разделам, подразделам классификации расходов бюджетов за 2013 год</t>
  </si>
  <si>
    <t>Код бюджетной классификации по ФКР</t>
  </si>
  <si>
    <t>3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</si>
  <si>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</si>
  <si>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</si>
  <si>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</si>
  <si>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</si>
  <si>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</si>
  <si>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</si>
  <si>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</si>
  <si>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</si>
  <si>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ОБРАЗОВАНИЕ</t>
  </si>
  <si>
    <t xml:space="preserve">КУЛЬТУРА, КИНЕМАТОГРАФИЯ </t>
  </si>
  <si>
    <t>Культура</t>
  </si>
  <si>
    <t>ЗДРАВООХРАНЕНИЕ</t>
  </si>
  <si>
    <t xml:space="preserve">Скорая медицинская помощь </t>
  </si>
  <si>
    <t>Заготовка, переработка, хранение и обеспечение безопасности донорской крови и её компонентов</t>
  </si>
  <si>
    <t>СОЦИАЛЬНАЯ ПОЛИТИКА</t>
  </si>
  <si>
    <t>ФИЗИЧЕСКАЯ КУЛЬТУРА И СПОРТ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</si>
  <si>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</si>
  <si>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</si>
  <si>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</si>
  <si>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</si>
  <si>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</si>
  <si>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Без терфомса</t>
  </si>
  <si>
    <t>Код бюджетной классификации</t>
  </si>
  <si>
    <t>Утвержденные бюджетные назначения</t>
  </si>
  <si>
    <t>Неисполненные  назначения</t>
  </si>
  <si>
    <t>Доходы бюджета - всего</t>
  </si>
  <si>
    <t/>
  </si>
  <si>
    <t>в том числе:</t>
  </si>
  <si>
    <t>Муниципальное учреждение "Управление по имуществу и земельным отношениям города Горно-Алтайска"</t>
  </si>
  <si>
    <t>018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</si>
  <si>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</si>
  <si>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</si>
  <si>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</si>
  <si>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</si>
  <si>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Управление Федеральной службы по надзору в сфере природопользования по Алтайскому краю и Республике Алтай</t>
  </si>
  <si>
    <t>048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</si>
  <si>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</si>
  <si>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</si>
  <si>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</si>
  <si>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</si>
  <si>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</si>
  <si>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</si>
  <si>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</si>
  <si>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</si>
  <si>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иные виды негативного воздействия на окружающую среду</t>
  </si>
  <si>
    <t>11201050010000120</t>
  </si>
  <si>
    <t>Федеральное агентство лесного хозяйства</t>
  </si>
  <si>
    <t>053</t>
  </si>
  <si>
    <t>Денежные взыскания (штрафы) за нарушение законодательства Российской Федерации о пожарной безопасности</t>
  </si>
  <si>
    <t>11627000010000140</t>
  </si>
  <si>
    <t>Управление Федеральной службы по надзору в сфере связи, информационных технологий и массовых коммуникаций по Алтайскому краю и Республике Алтай</t>
  </si>
  <si>
    <t>096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</si>
  <si>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</si>
  <si>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10807130010000110</t>
  </si>
  <si>
    <t>Управление Федерального казначейства по  Смоленской области</t>
  </si>
  <si>
    <t>100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</si>
  <si>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</si>
  <si>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10302150010000110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</si>
  <si>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</si>
  <si>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10302160010000110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</si>
  <si>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</si>
  <si>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10302170010000110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</si>
  <si>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</si>
  <si>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10302180010000110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</si>
  <si>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</si>
  <si>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10302220010000110</t>
  </si>
  <si>
    <t>Управление Федеральной антимонопольной службы по Республике Алтай</t>
  </si>
  <si>
    <t>161</t>
  </si>
  <si>
    <t>Денежные взыскания (штрафы) за нарушение законодательства о рекламе</t>
  </si>
  <si>
    <t>11626000010000140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</si>
  <si>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</si>
  <si>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11633020020000140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</si>
  <si>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</si>
  <si>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177</t>
  </si>
  <si>
    <t>Управление Федеральной налоговой службы  по Республике Алтай</t>
  </si>
  <si>
    <t>182</t>
  </si>
  <si>
    <t>Налог на прибыль организаций, зачисляемый в бюджеты субъектов Российской Федерации</t>
  </si>
  <si>
    <t>10101012020000110</t>
  </si>
  <si>
    <t xml:space="preserve"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 </t>
  </si>
  <si>
    <t>10101020010000110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</si>
  <si>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</si>
  <si>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</si>
  <si>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</si>
  <si>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</si>
  <si>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</si>
  <si>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</si>
  <si>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</si>
  <si>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10102040010000110</t>
  </si>
  <si>
    <t>Акцизы на пиво, производимое на территории Российской Федерации</t>
  </si>
  <si>
    <t>10302100010000110</t>
  </si>
  <si>
    <t>Акцизы на сидр, пуаре, медовуху, производимые на территории Российской Федерации</t>
  </si>
  <si>
    <t>1030212010000110</t>
  </si>
  <si>
    <t>Налог на имущество организаций по имуществу, не входящему в Единую систему газоснабжения</t>
  </si>
  <si>
    <t>10602010020000110</t>
  </si>
  <si>
    <t>Налог на имущество организаций по имуществу, входящему в Единую систему газоснабжения</t>
  </si>
  <si>
    <t>10602020020000110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</si>
  <si>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</si>
  <si>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</si>
  <si>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</si>
  <si>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</si>
  <si>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Налог на добычу полезных ископаемых в виде угля</t>
  </si>
  <si>
    <t>10701060010000110</t>
  </si>
  <si>
    <t>Сбор за пользование объектами водных биологических ресурсов (исключая внутренние водные объекты)</t>
  </si>
  <si>
    <t>10704020010000110</t>
  </si>
  <si>
    <t>Сбор за пользование объектами водных биологических ресурсов (по внутренним водным объектам)</t>
  </si>
  <si>
    <t>10704030010000110</t>
  </si>
  <si>
    <t>Платежи за добычу общераспространенных полезных ископаемых, мобилизуемые на территориях муниципальных районов</t>
  </si>
  <si>
    <t>10903021050000110</t>
  </si>
  <si>
    <t>Платежи за добычу подземных вод</t>
  </si>
  <si>
    <t>10903023010000110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</si>
  <si>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</si>
  <si>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10903082020000110</t>
  </si>
  <si>
    <t xml:space="preserve">Налог на имущество предприятий </t>
  </si>
  <si>
    <t>10904010020000110</t>
  </si>
  <si>
    <t>Налог с владельцев транспортных средств и налог на приобретение автотранспортных средств</t>
  </si>
  <si>
    <t>10904020020000110</t>
  </si>
  <si>
    <t>Налог на пользователей автомобильных дорог</t>
  </si>
  <si>
    <t>10904030010000110</t>
  </si>
  <si>
    <t>Налог с продаж</t>
  </si>
  <si>
    <t>10906010020000110</t>
  </si>
  <si>
    <t>Сбор на нужды образовательных учреждений, взимаемый с юридических лиц</t>
  </si>
  <si>
    <t>10906020020000110</t>
  </si>
  <si>
    <t>Прочие налоги и сборы</t>
  </si>
  <si>
    <t>10906030020000110</t>
  </si>
  <si>
    <t>Регулярные платежи за пользование недрами при пользовании недрами (ренталс) на территории Российской Федерации</t>
  </si>
  <si>
    <t>11202030010000120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</si>
  <si>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</si>
  <si>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11603020020000140</t>
  </si>
  <si>
    <t>Министерство внутренних дел по Республике Алтай</t>
  </si>
  <si>
    <t>188</t>
  </si>
  <si>
    <t>Денежные взыскания (штрафы) за нарушение законодательства Российской Федерации о безопасности дорожного движения</t>
  </si>
  <si>
    <t>11630020010000140</t>
  </si>
  <si>
    <t>Управление Министерства юстиции Российской Федерации по Республике Алтай</t>
  </si>
  <si>
    <t>318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</si>
  <si>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</si>
  <si>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10807110010000110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</si>
  <si>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</si>
  <si>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10807120010000110</t>
  </si>
  <si>
    <t>Министерство здравоохранения Республики Алтай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</si>
  <si>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</si>
  <si>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010</t>
  </si>
  <si>
    <t>10807082010000110</t>
  </si>
  <si>
    <t>Прочие доходы от компенсации затрат бюджетов субъектов Российской Федерации</t>
  </si>
  <si>
    <t>11302992020000130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</si>
  <si>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</si>
  <si>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11690020020000140</t>
  </si>
  <si>
    <t>Прочие неналоговые доходы бюджетов субъектов Российской Федерации</t>
  </si>
  <si>
    <t>11705020020000180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</si>
  <si>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</si>
  <si>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20202095020000151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</si>
  <si>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</si>
  <si>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20202127020000151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</si>
  <si>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</si>
  <si>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20202128020000151</t>
  </si>
  <si>
    <t>Субсидии бюджетам субъектов Российской Федерации на мероприятия по пренатальной (дородовой) диагностике</t>
  </si>
  <si>
    <t>20202129020000151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</si>
  <si>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</si>
  <si>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20203054020000151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</si>
  <si>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</si>
  <si>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20203068020000151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</si>
  <si>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</si>
  <si>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20204017020000151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</si>
  <si>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</si>
  <si>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20204043020000151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</si>
  <si>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</si>
  <si>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20204055020000151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</si>
  <si>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</si>
  <si>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20204064020000151</t>
  </si>
  <si>
    <t>Доходы бюджетов субъектов Российской Федерации от возврата бюджетными учреждениями остатков субсидий прошлых лет</t>
  </si>
  <si>
    <t>21802010020000180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</si>
  <si>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</si>
  <si>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21802030020000180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</si>
  <si>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</si>
  <si>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21802060020000151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</si>
  <si>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</si>
  <si>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21902000020000151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</si>
  <si>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</si>
  <si>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20203071020000151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</si>
  <si>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</si>
  <si>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20204025020000151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</si>
  <si>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</si>
  <si>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20204041020000151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</si>
  <si>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</si>
  <si>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20204052020000151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</si>
  <si>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</si>
  <si>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20204053020000151</t>
  </si>
  <si>
    <t xml:space="preserve">Прочие государственные пошлины за совершение прочих юридически значимых действий, подлежащие зачислению в бюджет субъекта Российской Федерации 
</t>
  </si>
  <si>
    <t>10807300010000110</t>
  </si>
  <si>
    <t>Субсидии бюджетам субъектов Российской Федерации на ежемесячное денежное вознаграждение за классное руководство</t>
  </si>
  <si>
    <t>20202037020000151</t>
  </si>
  <si>
    <t>Субсидии бюджетам на реализацию федеральных целевых программ</t>
  </si>
  <si>
    <t>20202051020000151</t>
  </si>
  <si>
    <t>Субсидии бюджетам субъектов Российской Федерации на поощрение лучших учителей</t>
  </si>
  <si>
    <t>20202067020000151</t>
  </si>
  <si>
    <t>Субсидии бюджетам субъектов Российской Федерации на модернизацию региональных систем общего образования</t>
  </si>
  <si>
    <t>20202145020000151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</si>
  <si>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 (займа)</t>
  </si>
  <si>
    <t>20202152020000151</t>
  </si>
  <si>
    <t>Субсидии бюджетам на модернизацию региональных систем дошкольного образования</t>
  </si>
  <si>
    <t>20202204020000151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</si>
  <si>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</si>
  <si>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20203010020000151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</si>
  <si>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</si>
  <si>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20203020020000151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</si>
  <si>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</si>
  <si>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20203060020000151</t>
  </si>
  <si>
    <t xml:space="preserve"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 </t>
  </si>
  <si>
    <t>20204042020000151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</si>
  <si>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</si>
  <si>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20702020020000180</t>
  </si>
  <si>
    <t>Прочие безвозмездные поступления в бюджеты субъектов Российской Федерации</t>
  </si>
  <si>
    <t>20702030020000180</t>
  </si>
  <si>
    <t>Доходы бюджетов субъектов Российской Федерации от возврата автономными учреждениями остатков субсидий прошлых лет</t>
  </si>
  <si>
    <t>21802020020000180</t>
  </si>
  <si>
    <t>21802030020000151</t>
  </si>
  <si>
    <t>Доходы бюджетов субъектов 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</si>
  <si>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21802040020000151</t>
  </si>
  <si>
    <t>Комитет ветеринарии с Госветинспекцией Республики Алтай</t>
  </si>
  <si>
    <t>Невыясненные поступления, зачисляемые в бюджеты субъектов Российской Федерации</t>
  </si>
  <si>
    <t>11701020020000180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</si>
  <si>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</si>
  <si>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11103020020000120</t>
  </si>
  <si>
    <t>Доходы в виде платы за предоставление рыбопромыслового участка,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ресурсов, находящихся в  собственности субъектов Российской Федерации</t>
  </si>
  <si>
    <t>11206020020000120</t>
  </si>
  <si>
    <t>Доходы, поступающие в порядке возмещения расходов, понесенные в связи с эксплуатацией имущества субъектов Российской Федерации</t>
  </si>
  <si>
    <t>11302062020000130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</si>
  <si>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</si>
  <si>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20202077020000151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</si>
  <si>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</si>
  <si>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20202085020000151</t>
  </si>
  <si>
    <t>Субсидии бюджетам субъектов Российской Федерации на возмещение части затрат на приобретение элитных семян</t>
  </si>
  <si>
    <t>20202174020000151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</si>
  <si>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</si>
  <si>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20202176020000151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</si>
  <si>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</si>
  <si>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20202177020000151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</si>
  <si>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</si>
  <si>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20202181020000151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</si>
  <si>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</si>
  <si>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20202182020000151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</si>
  <si>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</si>
  <si>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20202184020000151</t>
  </si>
  <si>
    <t xml:space="preserve">Субсидии бюджетам субъектов Российской Федерации на поддержку племенного животноводства  </t>
  </si>
  <si>
    <t>20202185020000151</t>
  </si>
  <si>
    <t xml:space="preserve">Субсидии бюджетам субъектов Российской Федерации на 1 литр реализованного товарного молока  </t>
  </si>
  <si>
    <t>20202186020000151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</si>
  <si>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</si>
  <si>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20202187020000151</t>
  </si>
  <si>
    <t>Субсидии бюджетам субъектов Российской Федерации на возмещение части затрат по наращиванию  поголовья северных оленей, маралов и мясных табунных лошадей</t>
  </si>
  <si>
    <t>20202188020000151</t>
  </si>
  <si>
    <t>Субсидии бюджетам субъектов Российской Федерации на поддержку экономически значимых региональных программ в области животноводства</t>
  </si>
  <si>
    <t>20202189020000151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</si>
  <si>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</si>
  <si>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20202190020000151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</si>
  <si>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</si>
  <si>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20202191020000151</t>
  </si>
  <si>
    <t>Субсидии бюджетам субъектов Российской Федерации на поддержку племенного крупного рогатого скота мясного направления</t>
  </si>
  <si>
    <t>20202193020000151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</si>
  <si>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</si>
  <si>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20202194020000151</t>
  </si>
  <si>
    <t xml:space="preserve">Субсидии бюджетам субъектов Российской Федерации на поддержку начинающих фермеров </t>
  </si>
  <si>
    <t>20202196020000151</t>
  </si>
  <si>
    <t xml:space="preserve">Субсидии бюджетам субъектов Российской Федерации на развитие семейных животноводческих ферм </t>
  </si>
  <si>
    <t>20202197020000151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</si>
  <si>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</si>
  <si>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20202198020000151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</si>
  <si>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</si>
  <si>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20202199020000151</t>
  </si>
  <si>
    <t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яиц, в связи с удорожанием приобретенных кормов</t>
  </si>
  <si>
    <t>20202203020000151</t>
  </si>
  <si>
    <t>Доходы бюджетов субъектов Российской Федерации от возврата иными организациями остатков субсидий прошлых лет</t>
  </si>
  <si>
    <t>Министерство финансов Республики Алтай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</si>
  <si>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</si>
  <si>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11632000020000140</t>
  </si>
  <si>
    <t>Дотации бюджетам субъектов Российской Федерации на выравнивание бюджетной обеспеченности</t>
  </si>
  <si>
    <t>20201001020000151</t>
  </si>
  <si>
    <t>Дотации бюджетам субъектов Российской Федерации на поддержку мер по обеспечению сбалансированности бюджетов</t>
  </si>
  <si>
    <t>20201003020000151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</si>
  <si>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</si>
  <si>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20203015020000151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</si>
  <si>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</si>
  <si>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10807172010000110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</si>
  <si>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</si>
  <si>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20202100020000151</t>
  </si>
  <si>
    <t>Субсидии бюджетам субъектов Российской Федерации на реализацию программы энергоснабжения и повышения энергетической эффективности на период до 2020 года</t>
  </si>
  <si>
    <t>20202150020000151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</si>
  <si>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</si>
  <si>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20202173020000151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</si>
  <si>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</si>
  <si>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20302030020000180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</si>
  <si>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</si>
  <si>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20302040020000180</t>
  </si>
  <si>
    <t xml:space="preserve">Государственная жилищная инспекция Республики Алтай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</si>
  <si>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</si>
  <si>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Субсидии бюджетам субъектов Российской Федерации на оздоровление детей</t>
  </si>
  <si>
    <t>20202005020000151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</si>
  <si>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</si>
  <si>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20202019020000151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</si>
  <si>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</si>
  <si>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20202118020000151</t>
  </si>
  <si>
    <t>Субвенции бюджетам субъектов Российской Федерации на оплату жилищно-коммунальных услуг отдельным категориям граждан</t>
  </si>
  <si>
    <t>20203001020000151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</si>
  <si>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</si>
  <si>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20203004020000151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</si>
  <si>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</si>
  <si>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20203011020000151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</si>
  <si>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</si>
  <si>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20203012020000151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</si>
  <si>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</si>
  <si>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20203053020000151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</si>
  <si>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</si>
  <si>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20203069020000151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</si>
  <si>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</si>
  <si>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20203070020000151</t>
  </si>
  <si>
    <t>Прочие межбюджетные трансферты, передаваемые бюджетам субъектов Российской Федерации</t>
  </si>
  <si>
    <t>20204999020000151</t>
  </si>
  <si>
    <t>Предоставление государственными (муниципальными) организациями грантов для получателей средств бюджетов субъектов Российской Федерации</t>
  </si>
  <si>
    <t>20302010020000180</t>
  </si>
  <si>
    <t>Прочие доходы от оказания платных услуг (работ) получателями средств бюджетов субъектов Российской Федерации</t>
  </si>
  <si>
    <t>11301992020000130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</si>
  <si>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</si>
  <si>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11101020020000120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</si>
  <si>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</si>
  <si>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11105022020000120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</si>
  <si>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</si>
  <si>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11105026100000120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</si>
  <si>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</si>
  <si>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91211107012020000120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</si>
  <si>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</si>
  <si>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11109042020000120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</si>
  <si>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</si>
  <si>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11402023020000410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</si>
  <si>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</si>
  <si>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11406022020000430</t>
  </si>
  <si>
    <t>Государственная пошлина за выдачу свидетельства о государственной аккредитации региональной спортивной федерации</t>
  </si>
  <si>
    <t>10807340010000110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</si>
  <si>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</si>
  <si>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20202133020000151</t>
  </si>
  <si>
    <t>914</t>
  </si>
  <si>
    <t xml:space="preserve"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   </t>
  </si>
  <si>
    <t>11602030020000140</t>
  </si>
  <si>
    <t>917</t>
  </si>
  <si>
    <t>918</t>
  </si>
  <si>
    <t>Субвенции бюджетам субъектов Российской Федерации на государственную регистрацию актов гражданского состояния</t>
  </si>
  <si>
    <t>20203003020000151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</si>
  <si>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</si>
  <si>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20204001020000151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</si>
  <si>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</si>
  <si>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20204002020000151</t>
  </si>
  <si>
    <t>919</t>
  </si>
  <si>
    <t xml:space="preserve"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 местного значения  </t>
  </si>
  <si>
    <t>11202052010000120</t>
  </si>
  <si>
    <t>Прочие платежи при пользовании недрами по участкам недр местного значения</t>
  </si>
  <si>
    <t>11202102020000120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</si>
  <si>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</si>
  <si>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11204013020000120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</si>
  <si>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</si>
  <si>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11204014020000120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</si>
  <si>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</si>
  <si>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11204015020000120</t>
  </si>
  <si>
    <t>Субвенции бюджетам субъектов Российской Федерации на осуществление отдельных полномочий в области лесных отношений</t>
  </si>
  <si>
    <t>20203018020000151</t>
  </si>
  <si>
    <t>Субвенции бюджетам субъектов Российской Федерации на осуществление отдельных полномочий в области водных отношений</t>
  </si>
  <si>
    <t>20203019020000151</t>
  </si>
  <si>
    <t>1080730001000110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</si>
  <si>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</si>
  <si>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11502020020000140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</si>
  <si>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</si>
  <si>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921</t>
  </si>
  <si>
    <t>Комитет занятости населения Республики Алтай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</si>
  <si>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</si>
  <si>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20202101020000151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</si>
  <si>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</si>
  <si>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20203025020000151</t>
  </si>
  <si>
    <t>923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</si>
  <si>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</si>
  <si>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20202009020000151</t>
  </si>
  <si>
    <t xml:space="preserve">Комитет по охране, использованию и воспроизводству объектов животного мира Республики Алтай </t>
  </si>
  <si>
    <t>925</t>
  </si>
  <si>
    <t>Субвенции бюджетам субъектов Российской Федерации на организацию, регулирование и охрану водных биологических ресурсов</t>
  </si>
  <si>
    <t>20203005020000151</t>
  </si>
  <si>
    <t>Субвенции бюджетам субъектов Российской Федерации на охрану и использование охотничьих ресурсов</t>
  </si>
  <si>
    <t>20203006020000151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</si>
  <si>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</si>
  <si>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20203031020000151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</si>
  <si>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</si>
  <si>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20203032020000151</t>
  </si>
  <si>
    <t>налоговые и неналоговые доходы</t>
  </si>
  <si>
    <t>прочие безвозмездные</t>
  </si>
  <si>
    <t>2 02</t>
  </si>
  <si>
    <t>2 03</t>
  </si>
  <si>
    <t>2 18</t>
  </si>
  <si>
    <t>2 19</t>
  </si>
  <si>
    <t>Итого без 2 07</t>
  </si>
  <si>
    <t>2 00</t>
  </si>
  <si>
    <t>Утверждено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</si>
  <si>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</si>
  <si>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</si>
  <si>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</si>
  <si>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</si>
  <si>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</si>
  <si>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</si>
  <si>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</si>
  <si>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</si>
  <si>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</si>
  <si>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</si>
  <si>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</si>
  <si>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</si>
  <si>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</si>
  <si>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</si>
  <si>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</si>
  <si>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</si>
  <si>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</si>
  <si>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</si>
  <si>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</si>
  <si>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</si>
  <si>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</si>
  <si>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</si>
  <si>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000 1 03 02100 01 0000 110</t>
  </si>
  <si>
    <t>000 1 03 02120 01 0000 110</t>
  </si>
  <si>
    <t>000 1 03 02150 01 0000 110</t>
  </si>
  <si>
    <t>000 1 03 02160 01 0000 110</t>
  </si>
  <si>
    <t>000 1 03 02170 01 0000 110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</si>
  <si>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</si>
  <si>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</si>
  <si>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</si>
  <si>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</si>
  <si>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</si>
  <si>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</si>
  <si>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</si>
  <si>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000 1 06 02010 02 0000 110</t>
  </si>
  <si>
    <t>000 1 06 02020 02 0000 110</t>
  </si>
  <si>
    <t xml:space="preserve">Транспортный налог </t>
  </si>
  <si>
    <t>000 1 06 04000 02 0000 110</t>
  </si>
  <si>
    <t>000 1 06 04011 02 0000 110</t>
  </si>
  <si>
    <t>000 1 06 04012 02 0000 110</t>
  </si>
  <si>
    <t>НАЛОГИ, СБОРЫ И РЕГУЛЯРНЫЕ ПЛАТЕЖИ ЗА ПОЛЬЗОВАНИЕ ПРИРОДНЫМИ РЕСУРСАМИ</t>
  </si>
  <si>
    <t>000 1 07 00000 00 0000 000</t>
  </si>
  <si>
    <t xml:space="preserve">Налог на добычу полезных ископаемых </t>
  </si>
  <si>
    <t>000 1 07 01000 01 0000 110</t>
  </si>
  <si>
    <t>000 1 07 01060 01 0000 110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</si>
  <si>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</si>
  <si>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</si>
  <si>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000 1 07 04020 01 0000 110</t>
  </si>
  <si>
    <t>000 1 07 04030 01 0000 110</t>
  </si>
  <si>
    <t>ГОСУДАРСТВЕННАЯ ПОШЛИНА</t>
  </si>
  <si>
    <t>000 1 08 00000 00 0000 000</t>
  </si>
  <si>
    <t>000 1 08 07082 01 0000 110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</si>
  <si>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</si>
  <si>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</si>
  <si>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000 1 0807120 01 0000 110</t>
  </si>
  <si>
    <t>000 1 08 07130 01 0000 110</t>
  </si>
  <si>
    <t>000 1 08 07172 01 0000 110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</si>
  <si>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</si>
  <si>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</si>
  <si>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000 1 08 07340 01 0000 110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</si>
  <si>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</si>
  <si>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</si>
  <si>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000 1 09 03021 05 0000 110</t>
  </si>
  <si>
    <t>000 1 09 03023 01 0000 110</t>
  </si>
  <si>
    <t>000 1 09 03082 02 0000 110</t>
  </si>
  <si>
    <t>Налог на имущество предприятий</t>
  </si>
  <si>
    <t>000 1 09 04010 02 0000 110</t>
  </si>
  <si>
    <t>000 1 09 04020 02 0000 110</t>
  </si>
  <si>
    <t>000 1 09 04030 01 0000 110</t>
  </si>
  <si>
    <t>000 1 09 06010 02 0000 110</t>
  </si>
  <si>
    <t>000 1 09 06020 02 0000 110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</si>
  <si>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</si>
  <si>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</si>
  <si>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</si>
  <si>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000 1 11 01020 02 0000 120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</si>
  <si>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</si>
  <si>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000 1 11 03020 02 0000 120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</si>
  <si>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</si>
  <si>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</si>
  <si>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</si>
  <si>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</si>
  <si>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</si>
  <si>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000 1 11 05026 10 0000 120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</si>
  <si>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</si>
  <si>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000 1 1107012 02 0000 120</t>
  </si>
  <si>
    <t>000 1 11 09042 02 0000 120</t>
  </si>
  <si>
    <t>ПЛАТЕЖИ ПРИ ПОЛЬЗОВАНИИ ПРИРОДНЫМИ РЕСУРСАМИ</t>
  </si>
  <si>
    <t>000 1 20 0000 00 0000 000</t>
  </si>
  <si>
    <t>Плата за негативное воздействие на окружающую среду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</si>
  <si>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</si>
  <si>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</si>
  <si>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</si>
  <si>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</si>
  <si>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</si>
  <si>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</si>
  <si>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Платежи при пользовании недрами</t>
  </si>
  <si>
    <t>000 1 12 02000 00 0000 120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</si>
  <si>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</si>
  <si>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</si>
  <si>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</si>
  <si>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</si>
  <si>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</si>
  <si>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</si>
  <si>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</si>
  <si>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</si>
  <si>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</si>
  <si>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000 1 12 04014 02 00001 20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</si>
  <si>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</si>
  <si>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000 1 12 04015 02 0000 120</t>
  </si>
  <si>
    <t>000 1 12 06020 02 0000 120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</si>
  <si>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</si>
  <si>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</si>
  <si>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</si>
  <si>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</si>
  <si>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</si>
  <si>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000 1 13 02062 02 0000 130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</si>
  <si>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</si>
  <si>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</si>
  <si>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</si>
  <si>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</si>
  <si>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000 1 14 02023 02 0000 410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</si>
  <si>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</si>
  <si>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</si>
  <si>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000 1 14 06012 04 0000 430</t>
  </si>
  <si>
    <t>000 1 14 06022 02 0000 430</t>
  </si>
  <si>
    <t>АДМИНИСТРАТИВНЫЕ ПЛАТЕЖИ И СБОРЫ</t>
  </si>
  <si>
    <t>000 1 15 00000 00 0000 000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</si>
  <si>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</si>
  <si>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</si>
  <si>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</si>
  <si>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</si>
  <si>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</si>
  <si>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000 1 16 03020 02 0000 140</t>
  </si>
  <si>
    <t>000 1 16 26000 01 0000 140</t>
  </si>
  <si>
    <t>000 1 16 27000 01 0000 140</t>
  </si>
  <si>
    <t>000 1 16 30020 01 0000 140</t>
  </si>
  <si>
    <t>000 1 16 32000 02 0000 140</t>
  </si>
  <si>
    <t>000 1 16 33020 02 0000 140</t>
  </si>
  <si>
    <t>000 1 16 90020 02 0000 140</t>
  </si>
  <si>
    <t>ПРОЧИЕ НЕНАЛОГОВЫЕ ДОХОДЫ</t>
  </si>
  <si>
    <t>000 1 17 00000 00 0000 000</t>
  </si>
  <si>
    <t>000 1 17 01020 02 0000 180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</si>
  <si>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</si>
  <si>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</si>
  <si>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</si>
  <si>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</si>
  <si>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</si>
  <si>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</si>
  <si>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</si>
  <si>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000 2 02 01001 02 0000 151</t>
  </si>
  <si>
    <t>000 2 02 01003 02 0000151</t>
  </si>
  <si>
    <t>000 2 02 02005 02 0000 151</t>
  </si>
  <si>
    <t>000 2 02 02009 02 0000 151</t>
  </si>
  <si>
    <t>000 2 02 02019 02 0000 151</t>
  </si>
  <si>
    <t>00020202037020000151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</si>
  <si>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</si>
  <si>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</si>
  <si>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000 2 02 02067 02 0000 151</t>
  </si>
  <si>
    <t>000 2 02 02077 02 0000 151</t>
  </si>
  <si>
    <t>000 2 02 02085 02 0000 151</t>
  </si>
  <si>
    <t>000 2 02 02095 02 0000 151</t>
  </si>
  <si>
    <t>000 2 0202100 02 0000 151</t>
  </si>
  <si>
    <t>000 2 0202101 02 0000 151</t>
  </si>
  <si>
    <t>000 2 02 02118 02 0000 151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</si>
  <si>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</si>
  <si>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</si>
  <si>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000 2 02 02128 02 0000 151</t>
  </si>
  <si>
    <t>000 2 02 02129 02 0000 151</t>
  </si>
  <si>
    <t>000 2 02 02133 02 0000 151</t>
  </si>
  <si>
    <t>000 2 02 02145 02 0000 151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</si>
  <si>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</si>
  <si>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</si>
  <si>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000 2 02 02152 02 0000 151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</si>
  <si>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</si>
  <si>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</si>
  <si>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000 2 0202174 02 0000 151</t>
  </si>
  <si>
    <t>000 2 02 02176 02 0000 151</t>
  </si>
  <si>
    <t>000 2 02 02177 02 0000 151</t>
  </si>
  <si>
    <t>000 2 02 02181 02 0000 151</t>
  </si>
  <si>
    <t>000 2 02 02182 02 0000 151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</si>
  <si>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</si>
  <si>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</si>
  <si>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</si>
  <si>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</si>
  <si>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</si>
  <si>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</si>
  <si>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000 2 02 02187 02 0000 151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</si>
  <si>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</si>
  <si>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>000 2 02 02188 02 0000 151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</si>
  <si>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</si>
  <si>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</si>
  <si>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000 2 0202190 02 0000 151</t>
  </si>
  <si>
    <t>000 2 0202191 02 0000151</t>
  </si>
  <si>
    <t>000 2 02 0219302 0000 151</t>
  </si>
  <si>
    <t>000 2 0202194 02 0000 151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</si>
  <si>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</si>
  <si>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</si>
  <si>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</si>
  <si>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</si>
  <si>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</si>
  <si>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</si>
  <si>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000 2 02 02199 02 0000 151</t>
  </si>
  <si>
    <t>000 2 02 02203 02 0000 151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</si>
  <si>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</si>
  <si>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000 2 02 02204 02 0000151</t>
  </si>
  <si>
    <t>Субвенции бюджетам субъектов Российской Федерации и муниципальных образований</t>
  </si>
  <si>
    <t>000 2 02 0300000 0000 151</t>
  </si>
  <si>
    <t>000 2 0203001 02 0000 151</t>
  </si>
  <si>
    <t>000 2 0203003 02 0000151</t>
  </si>
  <si>
    <t>000 2 0203004 02 0000 151</t>
  </si>
  <si>
    <t>000 2 02 03005 02 0000151</t>
  </si>
  <si>
    <t>000 2 02 03006 02 0000151</t>
  </si>
  <si>
    <t>000 2 02 03010 02 0000151</t>
  </si>
  <si>
    <t>000 2 02 03011 02 0000 151</t>
  </si>
  <si>
    <t>000 2 02 03012 02 0000 151</t>
  </si>
  <si>
    <t>000 2 02 03015 02 0000151</t>
  </si>
  <si>
    <t>000 2 02 03018 02 0000 151</t>
  </si>
  <si>
    <t>000 2 02 03019 02 0000 151</t>
  </si>
  <si>
    <t>000 2 02 03020 02 0000 151</t>
  </si>
  <si>
    <t>000 2 02 03025 02 0000 151</t>
  </si>
  <si>
    <t>000 2 02 03031 02 0000 151</t>
  </si>
  <si>
    <t>000 2 02 03032 02 0000 151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</si>
  <si>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</si>
  <si>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</si>
  <si>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</si>
  <si>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000 2 02 03054 02 0000151</t>
  </si>
  <si>
    <t>000 2 02 03060 02 0000151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</si>
  <si>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</si>
  <si>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</si>
  <si>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000 2 02 03069 02 0000 151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</si>
  <si>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</si>
  <si>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000 2 02 03070 02 0000 151</t>
  </si>
  <si>
    <t>000 2 02 03071 02 0000 151</t>
  </si>
  <si>
    <t>Иные межбюджетные трансферты</t>
  </si>
  <si>
    <t>000 2 02 0400000 0000 151</t>
  </si>
  <si>
    <t>000 2 0204001 02 0000 151</t>
  </si>
  <si>
    <t>000 2 0204002 02 0000151</t>
  </si>
  <si>
    <t>000 2 0204017 02 0000 151</t>
  </si>
  <si>
    <t>000 2 02 04025 02 0000 151</t>
  </si>
  <si>
    <t>000 2 02 04041 02 0000151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</si>
  <si>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</si>
  <si>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</si>
  <si>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000 2 02 04043 02 0000 151</t>
  </si>
  <si>
    <t>000 2 02 04052 02 0000 151</t>
  </si>
  <si>
    <t>000 2 02 04053 02 0000 151</t>
  </si>
  <si>
    <t>000 2 02 04055 02 0000 151</t>
  </si>
  <si>
    <t>000 2 02 04064 02 0000 151</t>
  </si>
  <si>
    <t>000 2 02 04999 02 0000 151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</si>
  <si>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</si>
  <si>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</si>
  <si>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</si>
  <si>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</si>
  <si>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</si>
  <si>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000 2 03 02010 02 0000 180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</si>
  <si>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</si>
  <si>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</si>
  <si>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</si>
  <si>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</si>
  <si>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ПРОЧИЕ БЕЗВОЗМЕЗДНЫЕ ПОСТУПЛЕНИЯ</t>
  </si>
  <si>
    <t>000 2 07 00000 00 0000 180</t>
  </si>
  <si>
    <t>000 2 07 02020 02 0000 180</t>
  </si>
  <si>
    <t>000 2 0702030 02 0000 180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</si>
  <si>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</si>
  <si>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</si>
  <si>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</si>
  <si>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</si>
  <si>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</si>
  <si>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</si>
  <si>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000 2 18 02010 02 0000 180</t>
  </si>
  <si>
    <t>000 2 18 02020 02 0000 180</t>
  </si>
  <si>
    <t>000 2 18 02030 02 0000 151</t>
  </si>
  <si>
    <t>00021802030020000180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</si>
  <si>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</si>
  <si>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000 2 18 0204002 0000 151</t>
  </si>
  <si>
    <t>000 2 18 02060 02 0000 151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</si>
  <si>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</si>
  <si>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</si>
  <si>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000 2 19 02000 02 0000 151</t>
  </si>
  <si>
    <t>Приложение 1</t>
  </si>
  <si>
    <t>к Закону Республики Алтай "Об исполнении республиканского бюджета Республики Алтай за 2013 год"</t>
  </si>
  <si>
    <t>Приложение 2</t>
  </si>
  <si>
    <t>Доходы республиканского бюджета Республики Алтай по кодам классификации  доходов бюджетов за 2013 год</t>
  </si>
  <si>
    <t>Исполнено   (рублей)</t>
  </si>
  <si>
    <t xml:space="preserve">Код </t>
  </si>
  <si>
    <t xml:space="preserve">Доходы республиканского бюджета Республики Алтай  по кодам видов доходов, подвидов доходов, классификации операций сектора государственного управления, относящихся к доходам бюджета, за 2013 год </t>
  </si>
  <si>
    <t>000 2 02 02000 00 0000 151</t>
  </si>
  <si>
    <t>Субсидии бюджетам бюджетной системы Российской Федерации (межбюджетные субсидии)</t>
  </si>
  <si>
    <t>4</t>
  </si>
  <si>
    <t>7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</si>
  <si>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</si>
  <si>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</si>
  <si>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</si>
  <si>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</si>
  <si>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</si>
  <si>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</si>
  <si>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</si>
  <si>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</si>
  <si>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</si>
  <si>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</si>
  <si>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</si>
  <si>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</si>
  <si>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</si>
  <si>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</si>
  <si>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субъектов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</si>
  <si>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</si>
  <si>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</si>
  <si>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</si>
  <si>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</si>
  <si>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</si>
  <si>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</si>
  <si>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</si>
  <si>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</si>
  <si>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</si>
  <si>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</si>
  <si>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</si>
  <si>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</si>
  <si>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</si>
  <si>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</si>
  <si>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</si>
  <si>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</si>
  <si>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Приложение 5</t>
  </si>
  <si>
    <t>Утверждено Законом</t>
  </si>
  <si>
    <t>Дефицит бюджета</t>
  </si>
  <si>
    <t>Источники внутреннего финансирования дефицитов бюджетов:</t>
  </si>
  <si>
    <t>000 01 00 00 00 00 0000 000</t>
  </si>
  <si>
    <t>000 01 06 00 00 00 0000 000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</si>
  <si>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</si>
  <si>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</si>
  <si>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Источники финансирования дефицита республиканского бюджета Республики Алтай по кодам групп, подгрупп, статей, видов источников финансирования дефицита бюджетов, классификации операций сектора государственного управления, относящихся к источникам финансирования дефицитов бюджетов, за 2013 год </t>
  </si>
  <si>
    <t>Приложение 6</t>
  </si>
  <si>
    <t xml:space="preserve">Источники финансирования дефицита республиканского бюджета Республики Алтай по кодам классификации источников финансирования дефицита бюджетов за 2013 год  </t>
  </si>
  <si>
    <t>000 01 05 00 00 00 0000 000</t>
  </si>
  <si>
    <t>000 01 05 00 00 00 0000 500</t>
  </si>
  <si>
    <t>000 01 05 02 00 00 0000 500</t>
  </si>
  <si>
    <t>000 01 05 02 01 00 0000 510</t>
  </si>
  <si>
    <t>000 01 05 02 01 02 0000 510</t>
  </si>
  <si>
    <t>000 01 05 00 00 00 0000 600</t>
  </si>
  <si>
    <t>000 01 05 02 00 00 0000 600</t>
  </si>
  <si>
    <t>000 01 05 02 01 00 0000 610</t>
  </si>
  <si>
    <t>000 01 05 02 01 02 0000 610</t>
  </si>
  <si>
    <t>000 01 02 00 00 00 0000 000</t>
  </si>
  <si>
    <t>000 01 02 00 00 00 0000 700</t>
  </si>
  <si>
    <t>000 01 02 00 00 02 0000 710</t>
  </si>
  <si>
    <t>000 01 02 00 00 00 0000 800</t>
  </si>
  <si>
    <t>000 01 02 00 00 02 0000 810</t>
  </si>
  <si>
    <t>000 01 03 00 00 00 0000 000</t>
  </si>
  <si>
    <t>000 01 03 01 00 00 0000 000</t>
  </si>
  <si>
    <t>000 01 03 01 00 00 0000 700</t>
  </si>
  <si>
    <t>000 01 03 01 00 02 0000 710</t>
  </si>
  <si>
    <t>000 01 03 01 00 00 0000 800</t>
  </si>
  <si>
    <t>000 01 03 01 00 02 0000 810</t>
  </si>
  <si>
    <t>000 01 06 01 00 00 0000 000</t>
  </si>
  <si>
    <t>000 01 06 01 00 00 0000 630</t>
  </si>
  <si>
    <t>000 01 06 01 00 02 0000 630</t>
  </si>
  <si>
    <t>000 01 06 05 00 00 0000 000</t>
  </si>
  <si>
    <t>000 01 06 05 00 00 0000 600</t>
  </si>
  <si>
    <t>000 01 06 05 01 00 0000 600</t>
  </si>
  <si>
    <t>000 01 06 05 01 02 0000 640</t>
  </si>
  <si>
    <t>000 01 06 05 02 00 0000 600</t>
  </si>
  <si>
    <t>000 01 06 05 02 02 0000 640</t>
  </si>
  <si>
    <t>000 01 06 05 00 00 0000 500</t>
  </si>
  <si>
    <t>000 01 06 05 02 00 0000 500</t>
  </si>
  <si>
    <t>000 01 06 05 02 02 0000 540</t>
  </si>
  <si>
    <t xml:space="preserve">Доходов по бюджетной классификации </t>
  </si>
  <si>
    <t>Источника финансирования по КИВФ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</si>
  <si>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</si>
  <si>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</si>
  <si>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</si>
  <si>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</si>
  <si>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</si>
  <si>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01 05 02 01 02 0000 510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</si>
  <si>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</si>
  <si>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</si>
  <si>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</si>
  <si>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01 05 02 01 02 0000 610</t>
  </si>
  <si>
    <t xml:space="preserve"> 01 02 00 00 00 0000 000</t>
  </si>
  <si>
    <t>01 02 00 00 00 0000 700</t>
  </si>
  <si>
    <t xml:space="preserve"> 01 02 00 00 02 0000 710</t>
  </si>
  <si>
    <t xml:space="preserve"> 01 02 00 00 00 0000 800</t>
  </si>
  <si>
    <t xml:space="preserve"> 01 02 00 00 02 0000 810</t>
  </si>
  <si>
    <t xml:space="preserve"> 01 03 00 00 00 0000 000</t>
  </si>
  <si>
    <t xml:space="preserve"> 01 03 01 00 00 0000 000</t>
  </si>
  <si>
    <t xml:space="preserve"> 01 03 01 00 00 0000 700</t>
  </si>
  <si>
    <t xml:space="preserve"> 01 03 01 00 02 0000 710</t>
  </si>
  <si>
    <t xml:space="preserve"> 01 03 01 00 00 0000 800</t>
  </si>
  <si>
    <t>01 03 01 00 02 0000 810</t>
  </si>
  <si>
    <t xml:space="preserve"> 01 06 00 00 00 0000 000</t>
  </si>
  <si>
    <t xml:space="preserve"> 01 06 05 00 00 0000 000</t>
  </si>
  <si>
    <t xml:space="preserve"> 01 06 05 00 00 0000 600</t>
  </si>
  <si>
    <t xml:space="preserve"> 01 06 05 01 00 0000 600</t>
  </si>
  <si>
    <t xml:space="preserve"> 01 06 05 01 02 0000 640</t>
  </si>
  <si>
    <t xml:space="preserve"> 01 06 05 02 00 0000 600</t>
  </si>
  <si>
    <t xml:space="preserve"> 01 06 05 02 02 0000 640</t>
  </si>
  <si>
    <t xml:space="preserve"> 01 06 05 00 00 0000 500</t>
  </si>
  <si>
    <t xml:space="preserve"> 01 06 05 02 00 0000 500</t>
  </si>
  <si>
    <t xml:space="preserve"> 01 06 05 02 02 0000 540</t>
  </si>
  <si>
    <t xml:space="preserve"> 01 06 01 00 00 0000 000</t>
  </si>
  <si>
    <t xml:space="preserve"> 01 06 01 00 00 0000 630</t>
  </si>
  <si>
    <t xml:space="preserve"> 01 06 01 00 02 0000 630</t>
  </si>
  <si>
    <t xml:space="preserve">Администратора </t>
  </si>
  <si>
    <t>Раздел</t>
  </si>
  <si>
    <t>Подраздел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</si>
</sst>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#,##0.0"/>
    <numFmt numFmtId="165" formatCode="0.0"/>
    <numFmt numFmtId="166" formatCode="000000000"/>
    <numFmt numFmtId="167" formatCode="#,##0.00;[Red]\-#,##0.00;0.00"/>
    <numFmt numFmtId="168" formatCode="#,##0.00_ ;[Red]\-#,##0.00\ "/>
    <numFmt numFmtId="169" formatCode="_-* #,##0.0_р_._-;\-* #,##0.0_р_._-;_-* &quot;-&quot;??_р_._-;_-@_-"/>
    <numFmt numFmtId="170" formatCode="_-* #,##0.0_р_._-;\-* #,##0.0_р_._-;_-* &quot;-&quot;?_р_._-;_-@_-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Times New Roman"/>
      <family val="1"/>
    </font>
    <font>
      <sz val="12"/>
      <color theme="1"/>
      <name val="Arial Cyr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447">
    <xf numFmtId="0" fontId="0" fillId="0" borderId="0" xfId="0"/>
    <xf numFmtId="0" fontId="5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 shrinkToFit="1"/>
    </xf>
    <xf numFmtId="0" fontId="9" fillId="2" borderId="3" xfId="0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justify" vertical="center" wrapText="1" shrinkToFit="1"/>
    </xf>
    <xf numFmtId="0" fontId="9" fillId="2" borderId="3" xfId="0" applyFont="1" applyFill="1" applyBorder="1" applyAlignment="1">
      <alignment horizontal="justify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 vertical="top" wrapText="1" shrinkToFi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0" fontId="1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center"/>
    </xf>
    <xf numFmtId="0" fontId="4" fillId="2" borderId="0" xfId="0" applyFont="1" applyFill="1"/>
    <xf numFmtId="164" fontId="3" fillId="2" borderId="0" xfId="0" applyNumberFormat="1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top" wrapText="1"/>
    </xf>
    <xf numFmtId="165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vertical="center"/>
    </xf>
    <xf numFmtId="164" fontId="4" fillId="2" borderId="0" xfId="0" applyNumberFormat="1" applyFont="1" applyFill="1"/>
    <xf numFmtId="0" fontId="2" fillId="2" borderId="3" xfId="0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5" fontId="3" fillId="2" borderId="1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justify"/>
    </xf>
    <xf numFmtId="0" fontId="9" fillId="2" borderId="3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justify" vertical="center" wrapText="1" shrinkToFit="1"/>
    </xf>
    <xf numFmtId="164" fontId="3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/>
    <xf numFmtId="49" fontId="3" fillId="2" borderId="1" xfId="0" applyNumberFormat="1" applyFont="1" applyFill="1" applyBorder="1" applyAlignment="1">
      <alignment horizontal="justify" vertical="center" wrapText="1"/>
    </xf>
    <xf numFmtId="165" fontId="3" fillId="2" borderId="1" xfId="0" applyNumberFormat="1" applyFont="1" applyFill="1" applyBorder="1" applyAlignment="1">
      <alignment horizontal="justify" vertical="center"/>
    </xf>
    <xf numFmtId="164" fontId="3" fillId="2" borderId="1" xfId="0" applyNumberFormat="1" applyFont="1" applyFill="1" applyBorder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164" fontId="10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 shrinkToFit="1"/>
    </xf>
    <xf numFmtId="164" fontId="9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center" wrapText="1" shrinkToFit="1"/>
    </xf>
    <xf numFmtId="49" fontId="3" fillId="2" borderId="1" xfId="1" applyNumberFormat="1" applyFont="1" applyFill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justify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3" fillId="2" borderId="3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43" fontId="3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0" fontId="9" fillId="0" borderId="0" xfId="0" applyFont="1" applyAlignment="1"/>
    <xf numFmtId="49" fontId="5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5" fillId="2" borderId="0" xfId="0" applyFont="1" applyFill="1" applyAlignment="1"/>
    <xf numFmtId="0" fontId="14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justify" vertical="center" wrapText="1"/>
    </xf>
    <xf numFmtId="2" fontId="16" fillId="0" borderId="0" xfId="0" applyNumberFormat="1" applyFont="1" applyAlignment="1">
      <alignment horizontal="center" vertical="center"/>
    </xf>
    <xf numFmtId="0" fontId="14" fillId="0" borderId="0" xfId="2" applyFont="1" applyFill="1" applyAlignment="1">
      <alignment vertical="top"/>
    </xf>
    <xf numFmtId="0" fontId="15" fillId="0" borderId="0" xfId="2" applyFont="1" applyFill="1" applyAlignment="1">
      <alignment vertical="top"/>
    </xf>
    <xf numFmtId="0" fontId="14" fillId="0" borderId="0" xfId="2" applyFont="1" applyFill="1" applyAlignment="1" applyProtection="1">
      <alignment vertical="top"/>
      <protection hidden="1"/>
    </xf>
    <xf numFmtId="0" fontId="15" fillId="0" borderId="0" xfId="4" applyNumberFormat="1" applyFont="1" applyFill="1" applyAlignment="1" applyProtection="1">
      <alignment vertical="top"/>
      <protection hidden="1"/>
    </xf>
    <xf numFmtId="0" fontId="15" fillId="0" borderId="0" xfId="4" applyNumberFormat="1" applyFont="1" applyFill="1" applyAlignment="1" applyProtection="1">
      <alignment horizontal="center" vertical="top"/>
      <protection hidden="1"/>
    </xf>
    <xf numFmtId="0" fontId="15" fillId="0" borderId="0" xfId="2" applyFont="1" applyFill="1" applyAlignment="1" applyProtection="1">
      <alignment horizontal="justify" vertical="top"/>
      <protection hidden="1"/>
    </xf>
    <xf numFmtId="49" fontId="15" fillId="0" borderId="0" xfId="2" applyNumberFormat="1" applyFont="1" applyFill="1" applyAlignment="1" applyProtection="1">
      <alignment horizontal="center" vertical="top"/>
      <protection hidden="1"/>
    </xf>
    <xf numFmtId="49" fontId="15" fillId="0" borderId="0" xfId="2" applyNumberFormat="1" applyFont="1" applyFill="1" applyAlignment="1" applyProtection="1">
      <alignment vertical="top"/>
      <protection hidden="1"/>
    </xf>
    <xf numFmtId="0" fontId="15" fillId="0" borderId="0" xfId="2" applyFont="1" applyFill="1" applyAlignment="1" applyProtection="1">
      <alignment vertical="top"/>
      <protection hidden="1"/>
    </xf>
    <xf numFmtId="0" fontId="15" fillId="0" borderId="0" xfId="2" applyFont="1" applyFill="1" applyAlignment="1" applyProtection="1">
      <alignment vertical="top" wrapText="1"/>
      <protection hidden="1"/>
    </xf>
    <xf numFmtId="0" fontId="15" fillId="0" borderId="0" xfId="2" applyFont="1" applyFill="1" applyAlignment="1">
      <alignment vertical="top" wrapText="1"/>
    </xf>
    <xf numFmtId="166" fontId="9" fillId="0" borderId="3" xfId="2" applyNumberFormat="1" applyFont="1" applyFill="1" applyBorder="1" applyAlignment="1" applyProtection="1">
      <alignment horizontal="justify" vertical="top"/>
      <protection hidden="1"/>
    </xf>
    <xf numFmtId="49" fontId="9" fillId="0" borderId="1" xfId="2" applyNumberFormat="1" applyFont="1" applyFill="1" applyBorder="1" applyAlignment="1" applyProtection="1">
      <alignment horizontal="center" vertical="top"/>
      <protection hidden="1"/>
    </xf>
    <xf numFmtId="166" fontId="9" fillId="0" borderId="1" xfId="2" applyNumberFormat="1" applyFont="1" applyFill="1" applyBorder="1" applyAlignment="1" applyProtection="1">
      <alignment horizontal="left" vertical="top"/>
      <protection hidden="1"/>
    </xf>
    <xf numFmtId="43" fontId="9" fillId="0" borderId="1" xfId="2" applyNumberFormat="1" applyFont="1" applyFill="1" applyBorder="1" applyAlignment="1" applyProtection="1">
      <alignment horizontal="left" vertical="top"/>
      <protection hidden="1"/>
    </xf>
    <xf numFmtId="43" fontId="9" fillId="0" borderId="1" xfId="2" applyNumberFormat="1" applyFont="1" applyFill="1" applyBorder="1" applyAlignment="1" applyProtection="1">
      <alignment horizontal="center" vertical="top"/>
      <protection hidden="1"/>
    </xf>
    <xf numFmtId="0" fontId="15" fillId="0" borderId="0" xfId="2" applyNumberFormat="1" applyFont="1" applyFill="1" applyBorder="1" applyAlignment="1" applyProtection="1">
      <alignment vertical="top"/>
      <protection hidden="1"/>
    </xf>
    <xf numFmtId="0" fontId="15" fillId="0" borderId="0" xfId="2" applyNumberFormat="1" applyFont="1" applyFill="1" applyAlignment="1" applyProtection="1">
      <alignment vertical="top"/>
      <protection hidden="1"/>
    </xf>
    <xf numFmtId="0" fontId="15" fillId="0" borderId="0" xfId="2" applyNumberFormat="1" applyFont="1" applyFill="1" applyAlignment="1">
      <alignment vertical="top"/>
    </xf>
    <xf numFmtId="166" fontId="9" fillId="0" borderId="3" xfId="2" applyNumberFormat="1" applyFont="1" applyFill="1" applyBorder="1" applyAlignment="1" applyProtection="1">
      <alignment horizontal="justify" vertical="top" wrapText="1"/>
      <protection hidden="1"/>
    </xf>
    <xf numFmtId="167" fontId="9" fillId="0" borderId="1" xfId="2" applyNumberFormat="1" applyFont="1" applyFill="1" applyBorder="1" applyAlignment="1" applyProtection="1">
      <alignment horizontal="center" vertical="top"/>
      <protection hidden="1"/>
    </xf>
    <xf numFmtId="0" fontId="9" fillId="0" borderId="3" xfId="2" applyNumberFormat="1" applyFont="1" applyFill="1" applyBorder="1" applyAlignment="1" applyProtection="1">
      <alignment horizontal="justify" vertical="top" wrapText="1"/>
      <protection hidden="1"/>
    </xf>
    <xf numFmtId="49" fontId="9" fillId="0" borderId="1" xfId="2" applyNumberFormat="1" applyFont="1" applyFill="1" applyBorder="1" applyAlignment="1" applyProtection="1">
      <alignment horizontal="center" vertical="top" wrapText="1"/>
      <protection hidden="1"/>
    </xf>
    <xf numFmtId="43" fontId="9" fillId="0" borderId="1" xfId="2" applyNumberFormat="1" applyFont="1" applyFill="1" applyBorder="1" applyAlignment="1" applyProtection="1">
      <alignment horizontal="center" vertical="top" wrapText="1"/>
      <protection hidden="1"/>
    </xf>
    <xf numFmtId="0" fontId="9" fillId="0" borderId="3" xfId="0" applyFont="1" applyFill="1" applyBorder="1" applyAlignment="1">
      <alignment horizontal="justify" vertical="top" wrapText="1"/>
    </xf>
    <xf numFmtId="49" fontId="9" fillId="0" borderId="1" xfId="2" applyNumberFormat="1" applyFont="1" applyFill="1" applyBorder="1" applyAlignment="1" applyProtection="1">
      <alignment horizontal="right" vertical="top" wrapText="1"/>
      <protection hidden="1"/>
    </xf>
    <xf numFmtId="0" fontId="9" fillId="0" borderId="3" xfId="4" applyNumberFormat="1" applyFont="1" applyFill="1" applyBorder="1" applyAlignment="1" applyProtection="1">
      <alignment horizontal="justify" vertical="top" wrapText="1"/>
      <protection hidden="1"/>
    </xf>
    <xf numFmtId="43" fontId="9" fillId="2" borderId="1" xfId="2" applyNumberFormat="1" applyFont="1" applyFill="1" applyBorder="1" applyAlignment="1" applyProtection="1">
      <alignment horizontal="center" vertical="top" wrapText="1"/>
      <protection hidden="1"/>
    </xf>
    <xf numFmtId="0" fontId="9" fillId="0" borderId="3" xfId="2" applyNumberFormat="1" applyFont="1" applyFill="1" applyBorder="1" applyAlignment="1" applyProtection="1">
      <alignment horizontal="justify" wrapText="1"/>
      <protection hidden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9" xfId="2" applyNumberFormat="1" applyFont="1" applyFill="1" applyBorder="1" applyAlignment="1" applyProtection="1">
      <alignment horizontal="justify" vertical="top" wrapText="1"/>
      <protection hidden="1"/>
    </xf>
    <xf numFmtId="49" fontId="9" fillId="0" borderId="10" xfId="2" applyNumberFormat="1" applyFont="1" applyFill="1" applyBorder="1" applyAlignment="1" applyProtection="1">
      <alignment horizontal="center" vertical="top" wrapText="1"/>
      <protection hidden="1"/>
    </xf>
    <xf numFmtId="43" fontId="9" fillId="2" borderId="10" xfId="2" applyNumberFormat="1" applyFont="1" applyFill="1" applyBorder="1" applyAlignment="1" applyProtection="1">
      <alignment horizontal="center" vertical="top" wrapText="1"/>
      <protection hidden="1"/>
    </xf>
    <xf numFmtId="0" fontId="9" fillId="0" borderId="0" xfId="2" applyFont="1" applyFill="1" applyAlignment="1" applyProtection="1">
      <alignment horizontal="justify" vertical="top"/>
      <protection hidden="1"/>
    </xf>
    <xf numFmtId="49" fontId="9" fillId="0" borderId="0" xfId="2" applyNumberFormat="1" applyFont="1" applyFill="1" applyAlignment="1" applyProtection="1">
      <alignment horizontal="center" vertical="top"/>
      <protection hidden="1"/>
    </xf>
    <xf numFmtId="0" fontId="9" fillId="0" borderId="0" xfId="2" applyNumberFormat="1" applyFont="1" applyFill="1" applyBorder="1" applyAlignment="1" applyProtection="1">
      <alignment vertical="top"/>
      <protection hidden="1"/>
    </xf>
    <xf numFmtId="167" fontId="9" fillId="0" borderId="0" xfId="2" applyNumberFormat="1" applyFont="1" applyFill="1" applyBorder="1" applyAlignment="1" applyProtection="1">
      <alignment horizontal="center" vertical="top" wrapText="1"/>
      <protection hidden="1"/>
    </xf>
    <xf numFmtId="168" fontId="9" fillId="0" borderId="0" xfId="2" applyNumberFormat="1" applyFont="1" applyFill="1" applyAlignment="1" applyProtection="1">
      <alignment vertical="top"/>
      <protection hidden="1"/>
    </xf>
    <xf numFmtId="0" fontId="9" fillId="0" borderId="0" xfId="2" applyFont="1" applyFill="1" applyAlignment="1">
      <alignment horizontal="justify" vertical="top"/>
    </xf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vertical="top"/>
    </xf>
    <xf numFmtId="43" fontId="9" fillId="0" borderId="0" xfId="2" applyNumberFormat="1" applyFont="1" applyFill="1" applyAlignment="1">
      <alignment vertical="top"/>
    </xf>
    <xf numFmtId="43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center" vertical="top"/>
    </xf>
    <xf numFmtId="0" fontId="9" fillId="3" borderId="1" xfId="2" applyFont="1" applyFill="1" applyBorder="1" applyAlignment="1">
      <alignment vertical="top"/>
    </xf>
    <xf numFmtId="43" fontId="9" fillId="3" borderId="1" xfId="2" applyNumberFormat="1" applyFont="1" applyFill="1" applyBorder="1" applyAlignment="1">
      <alignment vertical="top"/>
    </xf>
    <xf numFmtId="0" fontId="15" fillId="0" borderId="0" xfId="2" applyFont="1" applyFill="1" applyAlignment="1">
      <alignment horizontal="justify" vertical="top"/>
    </xf>
    <xf numFmtId="49" fontId="15" fillId="0" borderId="0" xfId="2" applyNumberFormat="1" applyFont="1" applyFill="1" applyAlignment="1">
      <alignment horizontal="center" vertical="top"/>
    </xf>
    <xf numFmtId="0" fontId="15" fillId="0" borderId="0" xfId="2" applyFont="1" applyFill="1" applyAlignment="1">
      <alignment horizontal="center" vertical="top"/>
    </xf>
    <xf numFmtId="0" fontId="9" fillId="0" borderId="4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3" fontId="9" fillId="0" borderId="18" xfId="2" applyNumberFormat="1" applyFont="1" applyFill="1" applyBorder="1" applyAlignment="1" applyProtection="1">
      <alignment horizontal="left" vertical="top"/>
      <protection hidden="1"/>
    </xf>
    <xf numFmtId="43" fontId="9" fillId="0" borderId="18" xfId="2" applyNumberFormat="1" applyFont="1" applyFill="1" applyBorder="1" applyAlignment="1" applyProtection="1">
      <alignment horizontal="center" vertical="top"/>
      <protection hidden="1"/>
    </xf>
    <xf numFmtId="43" fontId="9" fillId="0" borderId="18" xfId="2" applyNumberFormat="1" applyFont="1" applyFill="1" applyBorder="1" applyAlignment="1" applyProtection="1">
      <alignment horizontal="right" vertical="top" wrapText="1"/>
      <protection hidden="1"/>
    </xf>
    <xf numFmtId="43" fontId="9" fillId="0" borderId="18" xfId="2" applyNumberFormat="1" applyFont="1" applyFill="1" applyBorder="1" applyAlignment="1" applyProtection="1">
      <alignment horizontal="center" vertical="top" wrapText="1"/>
      <protection hidden="1"/>
    </xf>
    <xf numFmtId="43" fontId="9" fillId="2" borderId="18" xfId="2" applyNumberFormat="1" applyFont="1" applyFill="1" applyBorder="1" applyAlignment="1" applyProtection="1">
      <alignment horizontal="center" vertical="top" wrapText="1"/>
      <protection hidden="1"/>
    </xf>
    <xf numFmtId="43" fontId="9" fillId="0" borderId="19" xfId="2" applyNumberFormat="1" applyFont="1" applyFill="1" applyBorder="1" applyAlignment="1" applyProtection="1">
      <alignment horizontal="right" vertical="top" wrapText="1"/>
      <protection hidden="1"/>
    </xf>
    <xf numFmtId="43" fontId="22" fillId="0" borderId="42" xfId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3" fontId="22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vertical="top"/>
    </xf>
    <xf numFmtId="0" fontId="15" fillId="0" borderId="0" xfId="2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66" fontId="9" fillId="0" borderId="6" xfId="2" applyNumberFormat="1" applyFont="1" applyFill="1" applyBorder="1" applyAlignment="1" applyProtection="1">
      <alignment horizontal="justify" vertical="top"/>
      <protection hidden="1"/>
    </xf>
    <xf numFmtId="49" fontId="9" fillId="0" borderId="2" xfId="2" applyNumberFormat="1" applyFont="1" applyFill="1" applyBorder="1" applyAlignment="1" applyProtection="1">
      <alignment horizontal="center" vertical="top"/>
      <protection hidden="1"/>
    </xf>
    <xf numFmtId="166" fontId="9" fillId="0" borderId="2" xfId="2" applyNumberFormat="1" applyFont="1" applyFill="1" applyBorder="1" applyAlignment="1" applyProtection="1">
      <alignment horizontal="left" vertical="top"/>
      <protection hidden="1"/>
    </xf>
    <xf numFmtId="43" fontId="9" fillId="0" borderId="2" xfId="1" applyNumberFormat="1" applyFont="1" applyFill="1" applyBorder="1" applyAlignment="1" applyProtection="1">
      <alignment horizontal="center" vertical="top"/>
      <protection hidden="1"/>
    </xf>
    <xf numFmtId="43" fontId="9" fillId="0" borderId="17" xfId="1" applyNumberFormat="1" applyFont="1" applyFill="1" applyBorder="1" applyAlignment="1" applyProtection="1">
      <alignment horizontal="center" vertical="top"/>
      <protection hidden="1"/>
    </xf>
    <xf numFmtId="0" fontId="9" fillId="2" borderId="3" xfId="2" applyNumberFormat="1" applyFont="1" applyFill="1" applyBorder="1" applyAlignment="1" applyProtection="1">
      <alignment horizontal="justify" vertical="top" wrapText="1"/>
      <protection hidden="1"/>
    </xf>
    <xf numFmtId="49" fontId="9" fillId="2" borderId="1" xfId="2" applyNumberFormat="1" applyFont="1" applyFill="1" applyBorder="1" applyAlignment="1" applyProtection="1">
      <alignment horizontal="center" vertical="top" wrapText="1"/>
      <protection hidden="1"/>
    </xf>
    <xf numFmtId="43" fontId="9" fillId="2" borderId="18" xfId="2" applyNumberFormat="1" applyFont="1" applyFill="1" applyBorder="1" applyAlignment="1" applyProtection="1">
      <alignment horizontal="right" vertical="top" wrapText="1"/>
      <protection hidden="1"/>
    </xf>
    <xf numFmtId="0" fontId="15" fillId="2" borderId="0" xfId="2" applyFont="1" applyFill="1" applyAlignment="1" applyProtection="1">
      <alignment vertical="top"/>
      <protection hidden="1"/>
    </xf>
    <xf numFmtId="0" fontId="15" fillId="2" borderId="0" xfId="2" applyFont="1" applyFill="1" applyAlignment="1">
      <alignment vertical="top"/>
    </xf>
    <xf numFmtId="169" fontId="9" fillId="0" borderId="1" xfId="1" applyNumberFormat="1" applyFont="1" applyBorder="1" applyAlignment="1">
      <alignment wrapText="1"/>
    </xf>
    <xf numFmtId="169" fontId="9" fillId="0" borderId="1" xfId="1" applyNumberFormat="1" applyFont="1" applyFill="1" applyBorder="1" applyAlignment="1">
      <alignment vertical="center" wrapText="1"/>
    </xf>
    <xf numFmtId="0" fontId="23" fillId="0" borderId="0" xfId="0" applyFont="1" applyAlignment="1"/>
    <xf numFmtId="0" fontId="3" fillId="2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9" fontId="9" fillId="0" borderId="44" xfId="1" applyNumberFormat="1" applyFont="1" applyFill="1" applyBorder="1" applyAlignment="1" applyProtection="1">
      <alignment horizontal="center" vertical="top"/>
      <protection hidden="1"/>
    </xf>
    <xf numFmtId="169" fontId="15" fillId="0" borderId="37" xfId="1" applyNumberFormat="1" applyFont="1" applyFill="1" applyBorder="1" applyAlignment="1" applyProtection="1">
      <alignment vertical="top" wrapText="1"/>
      <protection hidden="1"/>
    </xf>
    <xf numFmtId="169" fontId="9" fillId="0" borderId="37" xfId="1" applyNumberFormat="1" applyFont="1" applyFill="1" applyBorder="1" applyAlignment="1" applyProtection="1">
      <alignment horizontal="center" vertical="top"/>
      <protection hidden="1"/>
    </xf>
    <xf numFmtId="169" fontId="9" fillId="0" borderId="37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37" xfId="1" applyNumberFormat="1" applyFont="1" applyFill="1" applyBorder="1" applyAlignment="1" applyProtection="1">
      <alignment horizontal="center" vertical="top" wrapText="1"/>
      <protection hidden="1"/>
    </xf>
    <xf numFmtId="0" fontId="9" fillId="0" borderId="43" xfId="0" applyFont="1" applyFill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9" fillId="0" borderId="4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9" fontId="15" fillId="2" borderId="37" xfId="1" applyNumberFormat="1" applyFont="1" applyFill="1" applyBorder="1" applyAlignment="1" applyProtection="1">
      <alignment vertical="top" wrapText="1"/>
      <protection hidden="1"/>
    </xf>
    <xf numFmtId="169" fontId="15" fillId="0" borderId="38" xfId="1" applyNumberFormat="1" applyFont="1" applyFill="1" applyBorder="1" applyAlignment="1" applyProtection="1">
      <alignment vertical="top" wrapText="1"/>
      <protection hidden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43" fontId="16" fillId="0" borderId="0" xfId="1" applyFont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49" fontId="10" fillId="0" borderId="10" xfId="4" applyNumberFormat="1" applyFont="1" applyFill="1" applyBorder="1" applyAlignment="1">
      <alignment horizontal="center" vertical="center" wrapText="1"/>
    </xf>
    <xf numFmtId="49" fontId="10" fillId="0" borderId="10" xfId="4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/>
    <xf numFmtId="49" fontId="16" fillId="0" borderId="0" xfId="0" applyNumberFormat="1" applyFont="1" applyAlignment="1">
      <alignment horizontal="center"/>
    </xf>
    <xf numFmtId="0" fontId="16" fillId="0" borderId="0" xfId="0" applyFont="1" applyAlignmen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14" fillId="0" borderId="0" xfId="0" applyFont="1" applyAlignment="1"/>
    <xf numFmtId="0" fontId="15" fillId="0" borderId="0" xfId="0" applyFont="1" applyBorder="1" applyAlignment="1"/>
    <xf numFmtId="49" fontId="16" fillId="0" borderId="0" xfId="0" applyNumberFormat="1" applyFont="1" applyBorder="1" applyAlignment="1">
      <alignment horizontal="center"/>
    </xf>
    <xf numFmtId="0" fontId="24" fillId="0" borderId="0" xfId="0" applyFont="1" applyFill="1" applyAlignment="1"/>
    <xf numFmtId="0" fontId="16" fillId="0" borderId="0" xfId="0" applyFont="1" applyBorder="1" applyAlignment="1"/>
    <xf numFmtId="43" fontId="16" fillId="0" borderId="0" xfId="0" applyNumberFormat="1" applyFont="1" applyBorder="1" applyAlignment="1"/>
    <xf numFmtId="0" fontId="9" fillId="2" borderId="8" xfId="0" applyFont="1" applyFill="1" applyBorder="1" applyAlignment="1">
      <alignment horizontal="justify" vertical="center" wrapText="1" shrinkToFit="1"/>
    </xf>
    <xf numFmtId="0" fontId="3" fillId="2" borderId="8" xfId="0" applyFont="1" applyFill="1" applyBorder="1" applyAlignment="1">
      <alignment horizontal="justify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0" fontId="3" fillId="2" borderId="39" xfId="0" applyFont="1" applyFill="1" applyBorder="1" applyAlignment="1">
      <alignment wrapText="1"/>
    </xf>
    <xf numFmtId="2" fontId="2" fillId="2" borderId="21" xfId="0" applyNumberFormat="1" applyFont="1" applyFill="1" applyBorder="1" applyAlignment="1">
      <alignment vertical="center"/>
    </xf>
    <xf numFmtId="2" fontId="3" fillId="2" borderId="21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justify" vertical="center" wrapText="1" shrinkToFit="1"/>
    </xf>
    <xf numFmtId="0" fontId="2" fillId="2" borderId="34" xfId="0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165" fontId="2" fillId="2" borderId="34" xfId="1" applyNumberFormat="1" applyFont="1" applyFill="1" applyBorder="1" applyAlignment="1">
      <alignment horizontal="right" vertical="center"/>
    </xf>
    <xf numFmtId="164" fontId="2" fillId="2" borderId="34" xfId="0" applyNumberFormat="1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justify" vertical="top" wrapText="1"/>
    </xf>
    <xf numFmtId="0" fontId="11" fillId="2" borderId="3" xfId="0" applyNumberFormat="1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 shrinkToFit="1"/>
    </xf>
    <xf numFmtId="49" fontId="3" fillId="2" borderId="10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2" fontId="9" fillId="0" borderId="51" xfId="0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164" fontId="10" fillId="2" borderId="44" xfId="0" applyNumberFormat="1" applyFont="1" applyFill="1" applyBorder="1" applyAlignment="1">
      <alignment horizontal="center" vertical="center"/>
    </xf>
    <xf numFmtId="0" fontId="9" fillId="0" borderId="37" xfId="0" applyFont="1" applyBorder="1" applyAlignment="1"/>
    <xf numFmtId="164" fontId="9" fillId="2" borderId="37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/>
    <xf numFmtId="164" fontId="10" fillId="0" borderId="38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43" fontId="9" fillId="0" borderId="0" xfId="1" applyFont="1" applyAlignment="1">
      <alignment horizontal="right"/>
    </xf>
    <xf numFmtId="0" fontId="9" fillId="0" borderId="0" xfId="0" applyFont="1" applyFill="1"/>
    <xf numFmtId="0" fontId="16" fillId="0" borderId="0" xfId="0" applyFont="1"/>
    <xf numFmtId="0" fontId="16" fillId="0" borderId="0" xfId="0" applyFont="1" applyFill="1"/>
    <xf numFmtId="0" fontId="10" fillId="0" borderId="5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3" fontId="10" fillId="0" borderId="31" xfId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3" fontId="9" fillId="0" borderId="1" xfId="1" applyFont="1" applyBorder="1" applyAlignment="1">
      <alignment horizontal="right" vertical="top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3" fontId="9" fillId="0" borderId="1" xfId="1" applyFont="1" applyBorder="1" applyAlignment="1">
      <alignment vertical="top" wrapText="1"/>
    </xf>
    <xf numFmtId="43" fontId="9" fillId="0" borderId="1" xfId="1" applyFont="1" applyBorder="1"/>
    <xf numFmtId="169" fontId="9" fillId="0" borderId="1" xfId="1" applyNumberFormat="1" applyFont="1" applyBorder="1" applyAlignment="1">
      <alignment horizontal="right" vertical="top" wrapText="1"/>
    </xf>
    <xf numFmtId="0" fontId="9" fillId="0" borderId="1" xfId="0" applyFont="1" applyBorder="1"/>
    <xf numFmtId="0" fontId="9" fillId="0" borderId="9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169" fontId="9" fillId="0" borderId="10" xfId="1" applyNumberFormat="1" applyFont="1" applyBorder="1" applyAlignment="1">
      <alignment horizontal="right" vertical="top" wrapText="1"/>
    </xf>
    <xf numFmtId="0" fontId="14" fillId="0" borderId="0" xfId="0" applyFont="1" applyFill="1" applyAlignment="1">
      <alignment horizontal="center" wrapText="1"/>
    </xf>
    <xf numFmtId="169" fontId="9" fillId="0" borderId="37" xfId="1" applyNumberFormat="1" applyFont="1" applyBorder="1" applyAlignment="1">
      <alignment vertical="top" wrapText="1"/>
    </xf>
    <xf numFmtId="169" fontId="9" fillId="0" borderId="37" xfId="1" applyNumberFormat="1" applyFont="1" applyBorder="1" applyAlignment="1"/>
    <xf numFmtId="169" fontId="9" fillId="0" borderId="38" xfId="1" applyNumberFormat="1" applyFont="1" applyBorder="1" applyAlignment="1">
      <alignment vertical="top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43" fontId="10" fillId="0" borderId="30" xfId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8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49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32" xfId="6" applyNumberFormat="1" applyFont="1" applyFill="1" applyBorder="1" applyAlignment="1" applyProtection="1">
      <alignment horizontal="center" vertical="center" wrapText="1"/>
      <protection hidden="1"/>
    </xf>
    <xf numFmtId="49" fontId="10" fillId="0" borderId="34" xfId="6" applyNumberFormat="1" applyFont="1" applyFill="1" applyBorder="1" applyAlignment="1" applyProtection="1">
      <alignment horizontal="center" vertical="center" wrapText="1"/>
      <protection hidden="1"/>
    </xf>
    <xf numFmtId="0" fontId="10" fillId="0" borderId="34" xfId="6" applyNumberFormat="1" applyFont="1" applyFill="1" applyBorder="1" applyAlignment="1" applyProtection="1">
      <alignment horizontal="center" vertical="center" wrapText="1"/>
      <protection hidden="1"/>
    </xf>
    <xf numFmtId="0" fontId="10" fillId="0" borderId="36" xfId="6" applyNumberFormat="1" applyFont="1" applyFill="1" applyBorder="1" applyAlignment="1" applyProtection="1">
      <alignment horizontal="center" vertical="center"/>
      <protection hidden="1"/>
    </xf>
    <xf numFmtId="0" fontId="10" fillId="0" borderId="35" xfId="2" applyFont="1" applyFill="1" applyBorder="1" applyAlignment="1" applyProtection="1">
      <alignment horizontal="center" vertical="center"/>
      <protection hidden="1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9" fontId="16" fillId="0" borderId="0" xfId="0" applyNumberFormat="1" applyFont="1" applyBorder="1" applyAlignment="1">
      <alignment wrapText="1"/>
    </xf>
    <xf numFmtId="164" fontId="16" fillId="0" borderId="0" xfId="0" applyNumberFormat="1" applyFont="1" applyAlignment="1"/>
    <xf numFmtId="0" fontId="10" fillId="0" borderId="5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/>
    </xf>
    <xf numFmtId="164" fontId="2" fillId="2" borderId="4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3" fontId="10" fillId="0" borderId="1" xfId="1" applyFont="1" applyBorder="1" applyAlignment="1">
      <alignment vertical="top" wrapText="1"/>
    </xf>
    <xf numFmtId="43" fontId="10" fillId="0" borderId="1" xfId="1" applyFont="1" applyBorder="1"/>
    <xf numFmtId="169" fontId="10" fillId="0" borderId="37" xfId="1" applyNumberFormat="1" applyFont="1" applyBorder="1" applyAlignment="1"/>
    <xf numFmtId="0" fontId="20" fillId="0" borderId="0" xfId="0" applyFont="1"/>
    <xf numFmtId="0" fontId="10" fillId="0" borderId="2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43" fontId="10" fillId="0" borderId="4" xfId="1" applyFont="1" applyBorder="1" applyAlignment="1">
      <alignment horizontal="right" vertical="top" wrapText="1"/>
    </xf>
    <xf numFmtId="169" fontId="10" fillId="0" borderId="5" xfId="1" applyNumberFormat="1" applyFont="1" applyBorder="1" applyAlignment="1">
      <alignment vertical="top" wrapText="1"/>
    </xf>
    <xf numFmtId="170" fontId="20" fillId="0" borderId="0" xfId="0" applyNumberFormat="1" applyFont="1"/>
    <xf numFmtId="0" fontId="10" fillId="0" borderId="3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3" fontId="10" fillId="0" borderId="1" xfId="1" applyFont="1" applyBorder="1" applyAlignment="1">
      <alignment horizontal="right" vertical="top" wrapText="1"/>
    </xf>
    <xf numFmtId="169" fontId="10" fillId="0" borderId="37" xfId="1" applyNumberFormat="1" applyFont="1" applyBorder="1" applyAlignment="1">
      <alignment vertical="top" wrapText="1"/>
    </xf>
    <xf numFmtId="0" fontId="10" fillId="0" borderId="3" xfId="2" applyNumberFormat="1" applyFont="1" applyFill="1" applyBorder="1" applyAlignment="1" applyProtection="1">
      <alignment horizontal="justify" vertical="top" wrapText="1"/>
      <protection hidden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20" fillId="0" borderId="1" xfId="0" applyFont="1" applyBorder="1"/>
    <xf numFmtId="169" fontId="10" fillId="0" borderId="37" xfId="0" applyNumberFormat="1" applyFont="1" applyBorder="1"/>
    <xf numFmtId="169" fontId="20" fillId="0" borderId="0" xfId="0" applyNumberFormat="1" applyFont="1"/>
    <xf numFmtId="43" fontId="20" fillId="0" borderId="0" xfId="1" applyFont="1"/>
    <xf numFmtId="169" fontId="10" fillId="0" borderId="1" xfId="1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0" fontId="10" fillId="0" borderId="5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38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top" wrapText="1"/>
    </xf>
    <xf numFmtId="49" fontId="10" fillId="0" borderId="24" xfId="4" applyNumberFormat="1" applyFont="1" applyFill="1" applyBorder="1" applyAlignment="1">
      <alignment horizontal="center" vertical="center" wrapText="1" shrinkToFit="1"/>
    </xf>
    <xf numFmtId="49" fontId="10" fillId="0" borderId="9" xfId="4" applyNumberFormat="1" applyFont="1" applyFill="1" applyBorder="1" applyAlignment="1">
      <alignment horizontal="center" vertical="center" wrapText="1" shrinkToFit="1"/>
    </xf>
    <xf numFmtId="49" fontId="10" fillId="0" borderId="4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horizont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3" fontId="2" fillId="2" borderId="23" xfId="1" applyFont="1" applyFill="1" applyBorder="1" applyAlignment="1">
      <alignment horizontal="center" vertical="center" wrapText="1"/>
    </xf>
    <xf numFmtId="43" fontId="2" fillId="2" borderId="16" xfId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5" fillId="2" borderId="0" xfId="0" applyFont="1" applyFill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4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</cellXfs>
  <cellStyles count="7">
    <cellStyle name="Обычный" xfId="0" builtinId="0"/>
    <cellStyle name="Обычный 2 10" xfId="2"/>
    <cellStyle name="Обычный 2 32" xfId="5"/>
    <cellStyle name="Обычный 2 33" xfId="6"/>
    <cellStyle name="Обычный_tmp" xfId="4"/>
    <cellStyle name="Финансовый" xfId="1" builtinId="3"/>
    <cellStyle name="Финансовый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1"/>
  <sheetViews>
    <sheetView zoomScaleNormal="100" workbookViewId="0">
      <selection activeCell="J16" sqref="J16"/>
    </sheetView>
  </sheetViews>
  <sheetFormatPr defaultRowHeight="12.75"/>
  <cols>
    <col min="1" max="1" width="62.140625" style="215" customWidth="1"/>
    <col min="2" max="2" width="30.85546875" style="220" customWidth="1"/>
    <col min="3" max="3" width="20.28515625" style="221" hidden="1" customWidth="1"/>
    <col min="4" max="4" width="25.140625" style="221" hidden="1" customWidth="1"/>
    <col min="5" max="5" width="16.7109375" style="215" hidden="1" customWidth="1"/>
    <col min="6" max="6" width="21.28515625" style="217" hidden="1" customWidth="1"/>
    <col min="7" max="7" width="18.85546875" style="216" customWidth="1"/>
    <col min="8" max="16384" width="9.140625" style="216"/>
  </cols>
  <sheetData>
    <row r="1" spans="1:11" ht="15.75">
      <c r="B1" s="379" t="s">
        <v>1744</v>
      </c>
      <c r="C1" s="379"/>
      <c r="D1" s="379"/>
      <c r="E1" s="379"/>
      <c r="F1" s="379"/>
    </row>
    <row r="2" spans="1:11" ht="51.75" customHeight="1">
      <c r="A2" s="195"/>
      <c r="B2" s="380" t="s">
        <v>1745</v>
      </c>
      <c r="C2" s="380"/>
      <c r="D2" s="380"/>
      <c r="E2" s="380"/>
      <c r="F2" s="380"/>
      <c r="G2" s="380"/>
    </row>
    <row r="3" spans="1:11" ht="15.75">
      <c r="A3" s="195"/>
      <c r="B3" s="182"/>
      <c r="C3" s="164"/>
      <c r="D3" s="164"/>
      <c r="E3" s="164"/>
      <c r="F3" s="164"/>
      <c r="G3" s="100"/>
    </row>
    <row r="4" spans="1:11" ht="81" customHeight="1">
      <c r="A4" s="381" t="s">
        <v>1750</v>
      </c>
      <c r="B4" s="381"/>
      <c r="C4" s="381"/>
      <c r="D4" s="381"/>
      <c r="E4" s="381"/>
      <c r="F4" s="381"/>
      <c r="G4" s="381"/>
    </row>
    <row r="5" spans="1:11">
      <c r="A5" s="216"/>
      <c r="B5" s="216"/>
      <c r="C5" s="216"/>
      <c r="D5" s="216"/>
    </row>
    <row r="6" spans="1:11" ht="15.75">
      <c r="A6" s="382"/>
      <c r="B6" s="382"/>
      <c r="C6" s="383"/>
      <c r="D6" s="383"/>
      <c r="G6" s="196" t="s">
        <v>752</v>
      </c>
    </row>
    <row r="7" spans="1:11" s="223" customFormat="1" ht="48.75" customHeight="1">
      <c r="A7" s="197" t="s">
        <v>0</v>
      </c>
      <c r="B7" s="197" t="s">
        <v>1092</v>
      </c>
      <c r="C7" s="198" t="s">
        <v>1465</v>
      </c>
      <c r="D7" s="198" t="s">
        <v>1035</v>
      </c>
      <c r="E7" s="222"/>
      <c r="F7" s="198" t="s">
        <v>1035</v>
      </c>
      <c r="G7" s="198" t="s">
        <v>1035</v>
      </c>
    </row>
    <row r="8" spans="1:11" ht="15.75">
      <c r="A8" s="197">
        <v>1</v>
      </c>
      <c r="B8" s="197">
        <v>2</v>
      </c>
      <c r="C8" s="199"/>
      <c r="D8" s="200">
        <v>3</v>
      </c>
      <c r="E8" s="218"/>
      <c r="F8" s="200">
        <v>3</v>
      </c>
      <c r="G8" s="200">
        <v>3</v>
      </c>
      <c r="K8" s="339">
        <f>G9-'Доходы по адм-м'!G10</f>
        <v>0</v>
      </c>
    </row>
    <row r="9" spans="1:11" ht="15.75">
      <c r="A9" s="174" t="s">
        <v>1466</v>
      </c>
      <c r="B9" s="175" t="s">
        <v>1467</v>
      </c>
      <c r="C9" s="172">
        <v>13938446100.84</v>
      </c>
      <c r="D9" s="172">
        <v>13914174765.23</v>
      </c>
      <c r="E9" s="172"/>
      <c r="F9" s="173">
        <f>D9/1000</f>
        <v>13914174.77</v>
      </c>
      <c r="G9" s="193">
        <f>G10+G108</f>
        <v>13914174.800000001</v>
      </c>
    </row>
    <row r="10" spans="1:11" ht="15.75">
      <c r="A10" s="174" t="s">
        <v>1468</v>
      </c>
      <c r="B10" s="175" t="s">
        <v>1469</v>
      </c>
      <c r="C10" s="172">
        <v>2337884000</v>
      </c>
      <c r="D10" s="172">
        <v>2311476646.77</v>
      </c>
      <c r="E10" s="172">
        <f>E11+E20+E29+E36+E42+E50+E60+E69+E85+E89+E94+E96+E105</f>
        <v>2337884000</v>
      </c>
      <c r="F10" s="173">
        <f t="shared" ref="F10:F73" si="0">D10/1000</f>
        <v>2311476.65</v>
      </c>
      <c r="G10" s="193">
        <f>G11+G20+G29+G36+G42+G50+G60+G69+G85+G89+G94+G96+G105</f>
        <v>2311476.7000000002</v>
      </c>
    </row>
    <row r="11" spans="1:11" ht="15.75">
      <c r="A11" s="174" t="s">
        <v>1470</v>
      </c>
      <c r="B11" s="175" t="s">
        <v>1471</v>
      </c>
      <c r="C11" s="172">
        <v>1388000000</v>
      </c>
      <c r="D11" s="172">
        <v>1394202271.98</v>
      </c>
      <c r="E11" s="172">
        <f>E12+E15</f>
        <v>1388000000</v>
      </c>
      <c r="F11" s="173">
        <f t="shared" si="0"/>
        <v>1394202.27</v>
      </c>
      <c r="G11" s="194">
        <f>G12+G15</f>
        <v>1394202.4</v>
      </c>
    </row>
    <row r="12" spans="1:11" ht="15.75">
      <c r="A12" s="174" t="s">
        <v>1472</v>
      </c>
      <c r="B12" s="175" t="s">
        <v>1473</v>
      </c>
      <c r="C12" s="172">
        <v>445140000</v>
      </c>
      <c r="D12" s="172">
        <v>436928103</v>
      </c>
      <c r="E12" s="172">
        <f>SUM(E13:E14)</f>
        <v>445140000</v>
      </c>
      <c r="F12" s="173">
        <f t="shared" si="0"/>
        <v>436928.1</v>
      </c>
      <c r="G12" s="194">
        <f>SUM(G13:G14)</f>
        <v>436928.1</v>
      </c>
    </row>
    <row r="13" spans="1:11" ht="31.5">
      <c r="A13" s="174" t="s">
        <v>1146</v>
      </c>
      <c r="B13" s="175" t="s">
        <v>1474</v>
      </c>
      <c r="C13" s="172">
        <v>445140000</v>
      </c>
      <c r="D13" s="172">
        <v>436846309.42000002</v>
      </c>
      <c r="E13" s="172">
        <v>445140000</v>
      </c>
      <c r="F13" s="173">
        <f t="shared" si="0"/>
        <v>436846.31</v>
      </c>
      <c r="G13" s="194">
        <v>436846.3</v>
      </c>
    </row>
    <row r="14" spans="1:11" ht="110.25">
      <c r="A14" s="174" t="s">
        <v>1475</v>
      </c>
      <c r="B14" s="175" t="s">
        <v>1476</v>
      </c>
      <c r="C14" s="172">
        <v>0</v>
      </c>
      <c r="D14" s="172">
        <v>81793.58</v>
      </c>
      <c r="E14" s="172">
        <v>0</v>
      </c>
      <c r="F14" s="173">
        <f t="shared" si="0"/>
        <v>81.790000000000006</v>
      </c>
      <c r="G14" s="194">
        <v>81.8</v>
      </c>
    </row>
    <row r="15" spans="1:11" ht="15.75">
      <c r="A15" s="174" t="s">
        <v>1477</v>
      </c>
      <c r="B15" s="175" t="s">
        <v>1478</v>
      </c>
      <c r="C15" s="172">
        <v>942860000</v>
      </c>
      <c r="D15" s="172">
        <v>957274168.98000002</v>
      </c>
      <c r="E15" s="172">
        <f>SUM(E16:E19)</f>
        <v>942860000</v>
      </c>
      <c r="F15" s="173">
        <f t="shared" si="0"/>
        <v>957274.17</v>
      </c>
      <c r="G15" s="194">
        <f>SUM(G16:G19)</f>
        <v>957274.3</v>
      </c>
    </row>
    <row r="16" spans="1:11" ht="78.75">
      <c r="A16" s="174" t="s">
        <v>1150</v>
      </c>
      <c r="B16" s="175" t="s">
        <v>1479</v>
      </c>
      <c r="C16" s="172">
        <v>923600000</v>
      </c>
      <c r="D16" s="172">
        <v>938017671.37</v>
      </c>
      <c r="E16" s="172">
        <v>923600000</v>
      </c>
      <c r="F16" s="173">
        <f t="shared" si="0"/>
        <v>938017.67</v>
      </c>
      <c r="G16" s="194">
        <v>938017.7</v>
      </c>
    </row>
    <row r="17" spans="1:7" ht="126">
      <c r="A17" s="174" t="s">
        <v>1152</v>
      </c>
      <c r="B17" s="175" t="s">
        <v>1480</v>
      </c>
      <c r="C17" s="172">
        <v>7660000</v>
      </c>
      <c r="D17" s="172">
        <v>7711748.79</v>
      </c>
      <c r="E17" s="172">
        <v>7660000</v>
      </c>
      <c r="F17" s="173">
        <f t="shared" si="0"/>
        <v>7711.75</v>
      </c>
      <c r="G17" s="194">
        <v>7711.8</v>
      </c>
    </row>
    <row r="18" spans="1:7" ht="47.25">
      <c r="A18" s="174" t="s">
        <v>1481</v>
      </c>
      <c r="B18" s="175" t="s">
        <v>1482</v>
      </c>
      <c r="C18" s="172">
        <v>4999000</v>
      </c>
      <c r="D18" s="172">
        <v>5791975.2800000003</v>
      </c>
      <c r="E18" s="172">
        <v>4999000</v>
      </c>
      <c r="F18" s="173">
        <f t="shared" si="0"/>
        <v>5791.98</v>
      </c>
      <c r="G18" s="194">
        <v>5792</v>
      </c>
    </row>
    <row r="19" spans="1:7" ht="94.5">
      <c r="A19" s="174" t="s">
        <v>1483</v>
      </c>
      <c r="B19" s="175" t="s">
        <v>1484</v>
      </c>
      <c r="C19" s="172">
        <v>6601000</v>
      </c>
      <c r="D19" s="172">
        <v>5752773.54</v>
      </c>
      <c r="E19" s="172">
        <v>6601000</v>
      </c>
      <c r="F19" s="173">
        <f t="shared" si="0"/>
        <v>5752.77</v>
      </c>
      <c r="G19" s="194">
        <v>5752.8</v>
      </c>
    </row>
    <row r="20" spans="1:7" ht="47.25">
      <c r="A20" s="174" t="s">
        <v>1485</v>
      </c>
      <c r="B20" s="175" t="s">
        <v>1486</v>
      </c>
      <c r="C20" s="172">
        <v>607633000</v>
      </c>
      <c r="D20" s="172">
        <v>565536948.73000002</v>
      </c>
      <c r="E20" s="172">
        <f>E21</f>
        <v>607633000</v>
      </c>
      <c r="F20" s="173">
        <f t="shared" si="0"/>
        <v>565536.94999999995</v>
      </c>
      <c r="G20" s="194">
        <f>G21</f>
        <v>565537.1</v>
      </c>
    </row>
    <row r="21" spans="1:7" s="219" customFormat="1" ht="31.5">
      <c r="A21" s="174" t="s">
        <v>1487</v>
      </c>
      <c r="B21" s="175" t="s">
        <v>1486</v>
      </c>
      <c r="C21" s="176">
        <v>607633000</v>
      </c>
      <c r="D21" s="176">
        <v>565536948.73000002</v>
      </c>
      <c r="E21" s="176">
        <f>SUM(E22:E28)</f>
        <v>607633000</v>
      </c>
      <c r="F21" s="173">
        <f t="shared" si="0"/>
        <v>565536.94999999995</v>
      </c>
      <c r="G21" s="194">
        <f>SUM(G22:G28)</f>
        <v>565537.1</v>
      </c>
    </row>
    <row r="22" spans="1:7" ht="31.5">
      <c r="A22" s="174" t="s">
        <v>1158</v>
      </c>
      <c r="B22" s="175" t="s">
        <v>1488</v>
      </c>
      <c r="C22" s="172">
        <v>676600</v>
      </c>
      <c r="D22" s="172">
        <v>164717</v>
      </c>
      <c r="E22" s="172">
        <v>676600</v>
      </c>
      <c r="F22" s="173">
        <f t="shared" si="0"/>
        <v>164.72</v>
      </c>
      <c r="G22" s="194">
        <v>164.7</v>
      </c>
    </row>
    <row r="23" spans="1:7" ht="31.5">
      <c r="A23" s="174" t="s">
        <v>1160</v>
      </c>
      <c r="B23" s="175" t="s">
        <v>1489</v>
      </c>
      <c r="C23" s="172">
        <v>0</v>
      </c>
      <c r="D23" s="172">
        <v>151491.94</v>
      </c>
      <c r="E23" s="172">
        <v>0</v>
      </c>
      <c r="F23" s="173">
        <f t="shared" si="0"/>
        <v>151.49</v>
      </c>
      <c r="G23" s="194">
        <v>151.5</v>
      </c>
    </row>
    <row r="24" spans="1:7" ht="47.25">
      <c r="A24" s="174" t="s">
        <v>1126</v>
      </c>
      <c r="B24" s="175" t="s">
        <v>1490</v>
      </c>
      <c r="C24" s="172">
        <v>237126000</v>
      </c>
      <c r="D24" s="172">
        <v>235964167.27000001</v>
      </c>
      <c r="E24" s="172">
        <v>237126000</v>
      </c>
      <c r="F24" s="173">
        <f t="shared" si="0"/>
        <v>235964.17</v>
      </c>
      <c r="G24" s="194">
        <v>235964.2</v>
      </c>
    </row>
    <row r="25" spans="1:7" ht="78.75">
      <c r="A25" s="174" t="s">
        <v>1128</v>
      </c>
      <c r="B25" s="175" t="s">
        <v>1491</v>
      </c>
      <c r="C25" s="172">
        <v>4606000</v>
      </c>
      <c r="D25" s="172">
        <v>4198789.54</v>
      </c>
      <c r="E25" s="172">
        <v>4606000</v>
      </c>
      <c r="F25" s="173">
        <f t="shared" si="0"/>
        <v>4198.79</v>
      </c>
      <c r="G25" s="194">
        <v>4198.8</v>
      </c>
    </row>
    <row r="26" spans="1:7" ht="63">
      <c r="A26" s="174" t="s">
        <v>1130</v>
      </c>
      <c r="B26" s="175" t="s">
        <v>1492</v>
      </c>
      <c r="C26" s="172">
        <v>338638400</v>
      </c>
      <c r="D26" s="172">
        <v>306320067.56</v>
      </c>
      <c r="E26" s="172">
        <v>338638400</v>
      </c>
      <c r="F26" s="173">
        <f t="shared" si="0"/>
        <v>306320.07</v>
      </c>
      <c r="G26" s="194">
        <v>306320.09999999998</v>
      </c>
    </row>
    <row r="27" spans="1:7" ht="63">
      <c r="A27" s="174" t="s">
        <v>1132</v>
      </c>
      <c r="B27" s="175" t="s">
        <v>1493</v>
      </c>
      <c r="C27" s="172">
        <v>21340000</v>
      </c>
      <c r="D27" s="172">
        <v>13094861.539999999</v>
      </c>
      <c r="E27" s="172">
        <v>21340000</v>
      </c>
      <c r="F27" s="173">
        <f t="shared" si="0"/>
        <v>13094.86</v>
      </c>
      <c r="G27" s="194">
        <v>13094.9</v>
      </c>
    </row>
    <row r="28" spans="1:7" ht="110.25">
      <c r="A28" s="174" t="s">
        <v>1494</v>
      </c>
      <c r="B28" s="175" t="s">
        <v>1495</v>
      </c>
      <c r="C28" s="172">
        <v>5246000</v>
      </c>
      <c r="D28" s="172">
        <v>5642853.8799999999</v>
      </c>
      <c r="E28" s="172">
        <v>5246000</v>
      </c>
      <c r="F28" s="173">
        <f t="shared" si="0"/>
        <v>5642.85</v>
      </c>
      <c r="G28" s="194">
        <v>5642.9</v>
      </c>
    </row>
    <row r="29" spans="1:7" ht="15.75">
      <c r="A29" s="174" t="s">
        <v>1496</v>
      </c>
      <c r="B29" s="175" t="s">
        <v>1497</v>
      </c>
      <c r="C29" s="172">
        <v>198755000</v>
      </c>
      <c r="D29" s="172">
        <v>203879841.44999999</v>
      </c>
      <c r="E29" s="172">
        <f>E30+E33</f>
        <v>198755000</v>
      </c>
      <c r="F29" s="173">
        <f t="shared" si="0"/>
        <v>203879.84</v>
      </c>
      <c r="G29" s="194">
        <f>G30+G33</f>
        <v>203879.9</v>
      </c>
    </row>
    <row r="30" spans="1:7" ht="15.75">
      <c r="A30" s="174" t="s">
        <v>1498</v>
      </c>
      <c r="B30" s="175" t="s">
        <v>1499</v>
      </c>
      <c r="C30" s="172">
        <f>SUM(C31:C32)</f>
        <v>114677000</v>
      </c>
      <c r="D30" s="172">
        <f>SUM(D31:D32)</f>
        <v>116916502.84999999</v>
      </c>
      <c r="E30" s="172">
        <f>SUM(E31:E32)</f>
        <v>114677000</v>
      </c>
      <c r="F30" s="173">
        <f t="shared" si="0"/>
        <v>116916.5</v>
      </c>
      <c r="G30" s="194">
        <f>SUM(G31:G32)</f>
        <v>116916.5</v>
      </c>
    </row>
    <row r="31" spans="1:7" ht="31.5">
      <c r="A31" s="174" t="s">
        <v>1162</v>
      </c>
      <c r="B31" s="175" t="s">
        <v>1500</v>
      </c>
      <c r="C31" s="172">
        <v>113951000</v>
      </c>
      <c r="D31" s="172">
        <v>116214987.55</v>
      </c>
      <c r="E31" s="172">
        <v>113951000</v>
      </c>
      <c r="F31" s="173">
        <f t="shared" si="0"/>
        <v>116214.99</v>
      </c>
      <c r="G31" s="194">
        <v>116215</v>
      </c>
    </row>
    <row r="32" spans="1:7" ht="31.5">
      <c r="A32" s="174" t="s">
        <v>1164</v>
      </c>
      <c r="B32" s="175" t="s">
        <v>1501</v>
      </c>
      <c r="C32" s="172">
        <v>726000</v>
      </c>
      <c r="D32" s="172">
        <v>701515.3</v>
      </c>
      <c r="E32" s="172">
        <v>726000</v>
      </c>
      <c r="F32" s="173">
        <f t="shared" si="0"/>
        <v>701.52</v>
      </c>
      <c r="G32" s="194">
        <v>701.5</v>
      </c>
    </row>
    <row r="33" spans="1:7" ht="15.75">
      <c r="A33" s="174" t="s">
        <v>1502</v>
      </c>
      <c r="B33" s="175" t="s">
        <v>1503</v>
      </c>
      <c r="C33" s="172">
        <f>SUM(C34:C35)</f>
        <v>84078000</v>
      </c>
      <c r="D33" s="172">
        <f>SUM(D34:D35)</f>
        <v>86963338.599999994</v>
      </c>
      <c r="E33" s="172">
        <f>SUM(E34:E35)</f>
        <v>84078000</v>
      </c>
      <c r="F33" s="173">
        <f t="shared" si="0"/>
        <v>86963.34</v>
      </c>
      <c r="G33" s="194">
        <f>SUM(G34:G35)</f>
        <v>86963.4</v>
      </c>
    </row>
    <row r="34" spans="1:7" ht="15.75">
      <c r="A34" s="174" t="s">
        <v>1166</v>
      </c>
      <c r="B34" s="175" t="s">
        <v>1504</v>
      </c>
      <c r="C34" s="172">
        <v>17716000</v>
      </c>
      <c r="D34" s="172">
        <v>17216264.280000001</v>
      </c>
      <c r="E34" s="172">
        <v>17716000</v>
      </c>
      <c r="F34" s="173">
        <f t="shared" si="0"/>
        <v>17216.259999999998</v>
      </c>
      <c r="G34" s="194">
        <v>17216.3</v>
      </c>
    </row>
    <row r="35" spans="1:7" ht="15.75">
      <c r="A35" s="174" t="s">
        <v>1168</v>
      </c>
      <c r="B35" s="175" t="s">
        <v>1505</v>
      </c>
      <c r="C35" s="172">
        <v>66362000</v>
      </c>
      <c r="D35" s="172">
        <v>69747074.319999993</v>
      </c>
      <c r="E35" s="172">
        <v>66362000</v>
      </c>
      <c r="F35" s="173">
        <f t="shared" si="0"/>
        <v>69747.070000000007</v>
      </c>
      <c r="G35" s="194">
        <v>69747.100000000006</v>
      </c>
    </row>
    <row r="36" spans="1:7" ht="31.5">
      <c r="A36" s="174" t="s">
        <v>1506</v>
      </c>
      <c r="B36" s="175" t="s">
        <v>1507</v>
      </c>
      <c r="C36" s="172">
        <v>9000</v>
      </c>
      <c r="D36" s="172">
        <v>-22189.919999999998</v>
      </c>
      <c r="E36" s="172">
        <f>E37+E39</f>
        <v>9000</v>
      </c>
      <c r="F36" s="173">
        <f t="shared" si="0"/>
        <v>-22.19</v>
      </c>
      <c r="G36" s="194">
        <f>G37+G39</f>
        <v>-22.3</v>
      </c>
    </row>
    <row r="37" spans="1:7" ht="15.75">
      <c r="A37" s="174" t="s">
        <v>1508</v>
      </c>
      <c r="B37" s="175" t="s">
        <v>1509</v>
      </c>
      <c r="C37" s="172">
        <f>C38</f>
        <v>0</v>
      </c>
      <c r="D37" s="172">
        <f>D38</f>
        <v>-26256</v>
      </c>
      <c r="E37" s="172">
        <f>E38</f>
        <v>0</v>
      </c>
      <c r="F37" s="173">
        <f t="shared" si="0"/>
        <v>-26.26</v>
      </c>
      <c r="G37" s="194">
        <f>G38</f>
        <v>-26.3</v>
      </c>
    </row>
    <row r="38" spans="1:7" ht="15.75">
      <c r="A38" s="174" t="s">
        <v>1170</v>
      </c>
      <c r="B38" s="175" t="s">
        <v>1510</v>
      </c>
      <c r="C38" s="172">
        <v>0</v>
      </c>
      <c r="D38" s="172">
        <v>-26256</v>
      </c>
      <c r="E38" s="172">
        <v>0</v>
      </c>
      <c r="F38" s="173">
        <f t="shared" si="0"/>
        <v>-26.26</v>
      </c>
      <c r="G38" s="194">
        <v>-26.3</v>
      </c>
    </row>
    <row r="39" spans="1:7" ht="31.5">
      <c r="A39" s="174" t="s">
        <v>1511</v>
      </c>
      <c r="B39" s="175" t="s">
        <v>1512</v>
      </c>
      <c r="C39" s="172">
        <f>SUM(C40:C41)</f>
        <v>9000</v>
      </c>
      <c r="D39" s="172">
        <f>SUM(D40:D41)</f>
        <v>4066.08</v>
      </c>
      <c r="E39" s="172">
        <f>SUM(E40:E41)</f>
        <v>9000</v>
      </c>
      <c r="F39" s="173">
        <f t="shared" si="0"/>
        <v>4.07</v>
      </c>
      <c r="G39" s="194">
        <f>SUM(G40:G41)</f>
        <v>4</v>
      </c>
    </row>
    <row r="40" spans="1:7" ht="31.5">
      <c r="A40" s="174" t="s">
        <v>1172</v>
      </c>
      <c r="B40" s="175" t="s">
        <v>1513</v>
      </c>
      <c r="C40" s="172">
        <v>0</v>
      </c>
      <c r="D40" s="172">
        <v>832.7</v>
      </c>
      <c r="E40" s="172">
        <v>0</v>
      </c>
      <c r="F40" s="173">
        <f t="shared" si="0"/>
        <v>0.83</v>
      </c>
      <c r="G40" s="194">
        <v>0.8</v>
      </c>
    </row>
    <row r="41" spans="1:7" ht="31.5">
      <c r="A41" s="174" t="s">
        <v>1174</v>
      </c>
      <c r="B41" s="175" t="s">
        <v>1514</v>
      </c>
      <c r="C41" s="172">
        <v>9000</v>
      </c>
      <c r="D41" s="172">
        <v>3233.38</v>
      </c>
      <c r="E41" s="172">
        <v>9000</v>
      </c>
      <c r="F41" s="173">
        <f t="shared" si="0"/>
        <v>3.23</v>
      </c>
      <c r="G41" s="194">
        <v>3.2</v>
      </c>
    </row>
    <row r="42" spans="1:7" ht="15.75">
      <c r="A42" s="174" t="s">
        <v>1515</v>
      </c>
      <c r="B42" s="175" t="s">
        <v>1516</v>
      </c>
      <c r="C42" s="172">
        <v>637000</v>
      </c>
      <c r="D42" s="172">
        <v>1362500</v>
      </c>
      <c r="E42" s="172">
        <f>SUM(E43:E49)</f>
        <v>637000</v>
      </c>
      <c r="F42" s="173">
        <f t="shared" si="0"/>
        <v>1362.5</v>
      </c>
      <c r="G42" s="194">
        <f>SUM(G43:G49)</f>
        <v>1362.5</v>
      </c>
    </row>
    <row r="43" spans="1:7" ht="78.75">
      <c r="A43" s="174" t="s">
        <v>1209</v>
      </c>
      <c r="B43" s="175" t="s">
        <v>1517</v>
      </c>
      <c r="C43" s="172">
        <v>62000</v>
      </c>
      <c r="D43" s="172">
        <v>516900</v>
      </c>
      <c r="E43" s="172">
        <v>62000</v>
      </c>
      <c r="F43" s="173">
        <f t="shared" si="0"/>
        <v>516.9</v>
      </c>
      <c r="G43" s="194">
        <v>516.9</v>
      </c>
    </row>
    <row r="44" spans="1:7" ht="78.75">
      <c r="A44" s="174" t="s">
        <v>1204</v>
      </c>
      <c r="B44" s="175" t="s">
        <v>1518</v>
      </c>
      <c r="C44" s="172">
        <v>100000</v>
      </c>
      <c r="D44" s="172">
        <v>104000</v>
      </c>
      <c r="E44" s="172">
        <v>100000</v>
      </c>
      <c r="F44" s="173">
        <f t="shared" si="0"/>
        <v>104</v>
      </c>
      <c r="G44" s="194">
        <v>104</v>
      </c>
    </row>
    <row r="45" spans="1:7" ht="31.5">
      <c r="A45" s="174" t="s">
        <v>1519</v>
      </c>
      <c r="B45" s="175" t="s">
        <v>1520</v>
      </c>
      <c r="C45" s="172">
        <v>20000</v>
      </c>
      <c r="D45" s="172">
        <v>20000</v>
      </c>
      <c r="E45" s="172">
        <v>20000</v>
      </c>
      <c r="F45" s="173">
        <f t="shared" si="0"/>
        <v>20</v>
      </c>
      <c r="G45" s="194">
        <v>20</v>
      </c>
    </row>
    <row r="46" spans="1:7" ht="78.75">
      <c r="A46" s="174" t="s">
        <v>1122</v>
      </c>
      <c r="B46" s="175" t="s">
        <v>1521</v>
      </c>
      <c r="C46" s="172">
        <v>0</v>
      </c>
      <c r="D46" s="172">
        <v>-1000</v>
      </c>
      <c r="E46" s="172">
        <v>0</v>
      </c>
      <c r="F46" s="173">
        <f t="shared" si="0"/>
        <v>-1</v>
      </c>
      <c r="G46" s="194">
        <v>-1</v>
      </c>
    </row>
    <row r="47" spans="1:7" ht="94.5">
      <c r="A47" s="174" t="s">
        <v>1350</v>
      </c>
      <c r="B47" s="175" t="s">
        <v>1522</v>
      </c>
      <c r="C47" s="172">
        <v>25000</v>
      </c>
      <c r="D47" s="172">
        <v>13000</v>
      </c>
      <c r="E47" s="172">
        <v>25000</v>
      </c>
      <c r="F47" s="173">
        <f t="shared" si="0"/>
        <v>13</v>
      </c>
      <c r="G47" s="194">
        <v>13</v>
      </c>
    </row>
    <row r="48" spans="1:7" ht="47.25">
      <c r="A48" s="174" t="s">
        <v>1523</v>
      </c>
      <c r="B48" s="175" t="s">
        <v>1524</v>
      </c>
      <c r="C48" s="172">
        <v>411000</v>
      </c>
      <c r="D48" s="172">
        <v>706600</v>
      </c>
      <c r="E48" s="172">
        <v>411000</v>
      </c>
      <c r="F48" s="173">
        <f t="shared" si="0"/>
        <v>706.6</v>
      </c>
      <c r="G48" s="194">
        <v>706.6</v>
      </c>
    </row>
    <row r="49" spans="1:7" ht="47.25">
      <c r="A49" s="174" t="s">
        <v>1404</v>
      </c>
      <c r="B49" s="175" t="s">
        <v>1525</v>
      </c>
      <c r="C49" s="172">
        <v>19000</v>
      </c>
      <c r="D49" s="172">
        <v>3000</v>
      </c>
      <c r="E49" s="172">
        <v>19000</v>
      </c>
      <c r="F49" s="173">
        <f t="shared" si="0"/>
        <v>3</v>
      </c>
      <c r="G49" s="194">
        <v>3</v>
      </c>
    </row>
    <row r="50" spans="1:7" ht="47.25">
      <c r="A50" s="174" t="s">
        <v>1526</v>
      </c>
      <c r="B50" s="175" t="s">
        <v>1527</v>
      </c>
      <c r="C50" s="172">
        <v>0</v>
      </c>
      <c r="D50" s="172">
        <v>67491.320000000007</v>
      </c>
      <c r="E50" s="172">
        <f>SUM(E51:E59)</f>
        <v>0</v>
      </c>
      <c r="F50" s="173">
        <f t="shared" si="0"/>
        <v>67.489999999999995</v>
      </c>
      <c r="G50" s="194">
        <f>SUM(G51:G59)</f>
        <v>67.400000000000006</v>
      </c>
    </row>
    <row r="51" spans="1:7" ht="47.25">
      <c r="A51" s="174" t="s">
        <v>1176</v>
      </c>
      <c r="B51" s="175" t="s">
        <v>1528</v>
      </c>
      <c r="C51" s="172">
        <v>0</v>
      </c>
      <c r="D51" s="172">
        <v>8</v>
      </c>
      <c r="E51" s="172">
        <v>0</v>
      </c>
      <c r="F51" s="173">
        <f t="shared" si="0"/>
        <v>0.01</v>
      </c>
      <c r="G51" s="194">
        <v>0</v>
      </c>
    </row>
    <row r="52" spans="1:7" ht="15.75">
      <c r="A52" s="174" t="s">
        <v>1178</v>
      </c>
      <c r="B52" s="175" t="s">
        <v>1529</v>
      </c>
      <c r="C52" s="172">
        <v>0</v>
      </c>
      <c r="D52" s="172">
        <v>-1350.48</v>
      </c>
      <c r="E52" s="172">
        <v>0</v>
      </c>
      <c r="F52" s="173">
        <f t="shared" si="0"/>
        <v>-1.35</v>
      </c>
      <c r="G52" s="194">
        <v>-1.4</v>
      </c>
    </row>
    <row r="53" spans="1:7" ht="78.75">
      <c r="A53" s="174" t="s">
        <v>1180</v>
      </c>
      <c r="B53" s="175" t="s">
        <v>1530</v>
      </c>
      <c r="C53" s="172">
        <v>0</v>
      </c>
      <c r="D53" s="172">
        <v>-121.86</v>
      </c>
      <c r="E53" s="172">
        <v>0</v>
      </c>
      <c r="F53" s="173">
        <f t="shared" si="0"/>
        <v>-0.12</v>
      </c>
      <c r="G53" s="194">
        <v>-0.1</v>
      </c>
    </row>
    <row r="54" spans="1:7" ht="15.75">
      <c r="A54" s="174" t="s">
        <v>1531</v>
      </c>
      <c r="B54" s="175" t="s">
        <v>1532</v>
      </c>
      <c r="C54" s="172">
        <v>0</v>
      </c>
      <c r="D54" s="172">
        <v>-18955.060000000001</v>
      </c>
      <c r="E54" s="172">
        <v>0</v>
      </c>
      <c r="F54" s="173">
        <f t="shared" si="0"/>
        <v>-18.96</v>
      </c>
      <c r="G54" s="194">
        <v>-19</v>
      </c>
    </row>
    <row r="55" spans="1:7" ht="31.5">
      <c r="A55" s="174" t="s">
        <v>1184</v>
      </c>
      <c r="B55" s="175" t="s">
        <v>1533</v>
      </c>
      <c r="C55" s="172">
        <v>0</v>
      </c>
      <c r="D55" s="172">
        <v>8060.34</v>
      </c>
      <c r="E55" s="172">
        <v>0</v>
      </c>
      <c r="F55" s="173">
        <f t="shared" si="0"/>
        <v>8.06</v>
      </c>
      <c r="G55" s="194">
        <v>8.1</v>
      </c>
    </row>
    <row r="56" spans="1:7" ht="15.75">
      <c r="A56" s="174" t="s">
        <v>1186</v>
      </c>
      <c r="B56" s="175" t="s">
        <v>1534</v>
      </c>
      <c r="C56" s="172">
        <v>0</v>
      </c>
      <c r="D56" s="172">
        <v>67174.33</v>
      </c>
      <c r="E56" s="172">
        <v>0</v>
      </c>
      <c r="F56" s="173">
        <f t="shared" si="0"/>
        <v>67.17</v>
      </c>
      <c r="G56" s="194">
        <v>67.2</v>
      </c>
    </row>
    <row r="57" spans="1:7" ht="15.75">
      <c r="A57" s="174" t="s">
        <v>1188</v>
      </c>
      <c r="B57" s="175" t="s">
        <v>1535</v>
      </c>
      <c r="C57" s="172">
        <v>0</v>
      </c>
      <c r="D57" s="172">
        <v>12243.82</v>
      </c>
      <c r="E57" s="172">
        <v>0</v>
      </c>
      <c r="F57" s="173">
        <f t="shared" si="0"/>
        <v>12.24</v>
      </c>
      <c r="G57" s="194">
        <v>12.2</v>
      </c>
    </row>
    <row r="58" spans="1:7" ht="31.5">
      <c r="A58" s="174" t="s">
        <v>1190</v>
      </c>
      <c r="B58" s="175" t="s">
        <v>1536</v>
      </c>
      <c r="C58" s="172">
        <v>0</v>
      </c>
      <c r="D58" s="172">
        <v>34.5</v>
      </c>
      <c r="E58" s="172">
        <v>0</v>
      </c>
      <c r="F58" s="173">
        <f t="shared" si="0"/>
        <v>0.03</v>
      </c>
      <c r="G58" s="194">
        <v>0</v>
      </c>
    </row>
    <row r="59" spans="1:7" ht="15.75">
      <c r="A59" s="174" t="s">
        <v>1192</v>
      </c>
      <c r="B59" s="175" t="s">
        <v>1537</v>
      </c>
      <c r="C59" s="172">
        <v>0</v>
      </c>
      <c r="D59" s="172">
        <v>397.73</v>
      </c>
      <c r="E59" s="172">
        <v>0</v>
      </c>
      <c r="F59" s="173">
        <f t="shared" si="0"/>
        <v>0.4</v>
      </c>
      <c r="G59" s="194">
        <v>0.4</v>
      </c>
    </row>
    <row r="60" spans="1:7" ht="47.25">
      <c r="A60" s="174" t="s">
        <v>1538</v>
      </c>
      <c r="B60" s="175" t="s">
        <v>1539</v>
      </c>
      <c r="C60" s="172">
        <v>21121600</v>
      </c>
      <c r="D60" s="172">
        <v>22291678.579999998</v>
      </c>
      <c r="E60" s="172">
        <f>E61+E62+E63+E67+E68</f>
        <v>21121600</v>
      </c>
      <c r="F60" s="173">
        <f t="shared" si="0"/>
        <v>22291.68</v>
      </c>
      <c r="G60" s="194">
        <f>G61+G62+G63+G67+G68</f>
        <v>22291.7</v>
      </c>
    </row>
    <row r="61" spans="1:7" ht="63">
      <c r="A61" s="174" t="s">
        <v>1390</v>
      </c>
      <c r="B61" s="175" t="s">
        <v>1540</v>
      </c>
      <c r="C61" s="172">
        <v>278000</v>
      </c>
      <c r="D61" s="172">
        <v>278000</v>
      </c>
      <c r="E61" s="172">
        <v>278000</v>
      </c>
      <c r="F61" s="173">
        <f t="shared" si="0"/>
        <v>278</v>
      </c>
      <c r="G61" s="194">
        <v>278</v>
      </c>
    </row>
    <row r="62" spans="1:7" ht="47.25">
      <c r="A62" s="174" t="s">
        <v>1541</v>
      </c>
      <c r="B62" s="175" t="s">
        <v>1542</v>
      </c>
      <c r="C62" s="172">
        <v>2019600</v>
      </c>
      <c r="D62" s="172">
        <v>2049590.17</v>
      </c>
      <c r="E62" s="172">
        <v>2019600</v>
      </c>
      <c r="F62" s="173">
        <f t="shared" si="0"/>
        <v>2049.59</v>
      </c>
      <c r="G62" s="194">
        <v>2049.6</v>
      </c>
    </row>
    <row r="63" spans="1:7" ht="78.75">
      <c r="A63" s="174" t="s">
        <v>1543</v>
      </c>
      <c r="B63" s="175" t="s">
        <v>1544</v>
      </c>
      <c r="C63" s="172">
        <f>SUM(C64:C66)</f>
        <v>14603000</v>
      </c>
      <c r="D63" s="172">
        <f>SUM(D64:D66)</f>
        <v>14721422.41</v>
      </c>
      <c r="E63" s="172">
        <f>SUM(E64:E66)</f>
        <v>14603000</v>
      </c>
      <c r="F63" s="173">
        <f t="shared" si="0"/>
        <v>14721.42</v>
      </c>
      <c r="G63" s="194">
        <f>SUM(G64:G66)</f>
        <v>14721.4</v>
      </c>
    </row>
    <row r="64" spans="1:7" ht="78.75">
      <c r="A64" s="174" t="s">
        <v>1100</v>
      </c>
      <c r="B64" s="175" t="s">
        <v>1545</v>
      </c>
      <c r="C64" s="172">
        <v>2894000</v>
      </c>
      <c r="D64" s="172">
        <v>2822894.44</v>
      </c>
      <c r="E64" s="172">
        <v>2894000</v>
      </c>
      <c r="F64" s="173">
        <f t="shared" si="0"/>
        <v>2822.89</v>
      </c>
      <c r="G64" s="194">
        <v>2822.9</v>
      </c>
    </row>
    <row r="65" spans="1:7" ht="94.5">
      <c r="A65" s="174" t="s">
        <v>1546</v>
      </c>
      <c r="B65" s="175" t="s">
        <v>1547</v>
      </c>
      <c r="C65" s="172">
        <v>6765000</v>
      </c>
      <c r="D65" s="172">
        <v>7259293.7300000004</v>
      </c>
      <c r="E65" s="172">
        <v>6765000</v>
      </c>
      <c r="F65" s="173">
        <f t="shared" si="0"/>
        <v>7259.29</v>
      </c>
      <c r="G65" s="194">
        <v>7259.3</v>
      </c>
    </row>
    <row r="66" spans="1:7" ht="126">
      <c r="A66" s="174" t="s">
        <v>1394</v>
      </c>
      <c r="B66" s="175" t="s">
        <v>1548</v>
      </c>
      <c r="C66" s="172">
        <v>4944000</v>
      </c>
      <c r="D66" s="172">
        <v>4639234.24</v>
      </c>
      <c r="E66" s="172">
        <v>4944000</v>
      </c>
      <c r="F66" s="173">
        <f t="shared" si="0"/>
        <v>4639.2299999999996</v>
      </c>
      <c r="G66" s="194">
        <v>4639.2</v>
      </c>
    </row>
    <row r="67" spans="1:7" ht="63">
      <c r="A67" s="174" t="s">
        <v>1549</v>
      </c>
      <c r="B67" s="175" t="s">
        <v>1550</v>
      </c>
      <c r="C67" s="172">
        <v>564000</v>
      </c>
      <c r="D67" s="172">
        <v>564900</v>
      </c>
      <c r="E67" s="172">
        <v>564000</v>
      </c>
      <c r="F67" s="173">
        <f t="shared" si="0"/>
        <v>564.9</v>
      </c>
      <c r="G67" s="194">
        <v>564.9</v>
      </c>
    </row>
    <row r="68" spans="1:7" ht="110.25">
      <c r="A68" s="174" t="s">
        <v>1398</v>
      </c>
      <c r="B68" s="175" t="s">
        <v>1551</v>
      </c>
      <c r="C68" s="172">
        <v>3657000</v>
      </c>
      <c r="D68" s="172">
        <v>4677766</v>
      </c>
      <c r="E68" s="172">
        <v>3657000</v>
      </c>
      <c r="F68" s="173">
        <f t="shared" si="0"/>
        <v>4677.7700000000004</v>
      </c>
      <c r="G68" s="194">
        <v>4677.8</v>
      </c>
    </row>
    <row r="69" spans="1:7" ht="31.5">
      <c r="A69" s="174" t="s">
        <v>1552</v>
      </c>
      <c r="B69" s="175" t="s">
        <v>1553</v>
      </c>
      <c r="C69" s="172">
        <v>38093000</v>
      </c>
      <c r="D69" s="172">
        <v>37506864.780000001</v>
      </c>
      <c r="E69" s="172">
        <f>E70+E76+E80+E84</f>
        <v>38093000</v>
      </c>
      <c r="F69" s="173">
        <f t="shared" si="0"/>
        <v>37506.86</v>
      </c>
      <c r="G69" s="194">
        <f>G70+G76+G80+G84</f>
        <v>37506.9</v>
      </c>
    </row>
    <row r="70" spans="1:7" ht="15.75">
      <c r="A70" s="174" t="s">
        <v>1554</v>
      </c>
      <c r="B70" s="175" t="s">
        <v>1555</v>
      </c>
      <c r="C70" s="172">
        <f>SUM(C71:C75)</f>
        <v>5238000</v>
      </c>
      <c r="D70" s="172">
        <f>SUM(D71:D75)</f>
        <v>5296966.29</v>
      </c>
      <c r="E70" s="172">
        <f>SUM(E71:E75)</f>
        <v>5238000</v>
      </c>
      <c r="F70" s="173">
        <f t="shared" si="0"/>
        <v>5296.97</v>
      </c>
      <c r="G70" s="194">
        <f>SUM(G71:G75)</f>
        <v>5297</v>
      </c>
    </row>
    <row r="71" spans="1:7" ht="31.5">
      <c r="A71" s="174" t="s">
        <v>1106</v>
      </c>
      <c r="B71" s="175" t="s">
        <v>1556</v>
      </c>
      <c r="C71" s="172">
        <v>602400</v>
      </c>
      <c r="D71" s="172">
        <v>657150.11</v>
      </c>
      <c r="E71" s="172">
        <v>602400</v>
      </c>
      <c r="F71" s="173">
        <f t="shared" si="0"/>
        <v>657.15</v>
      </c>
      <c r="G71" s="194">
        <v>657.2</v>
      </c>
    </row>
    <row r="72" spans="1:7" ht="31.5">
      <c r="A72" s="174" t="s">
        <v>1108</v>
      </c>
      <c r="B72" s="175" t="s">
        <v>1557</v>
      </c>
      <c r="C72" s="172">
        <v>167600</v>
      </c>
      <c r="D72" s="172">
        <v>172943.42</v>
      </c>
      <c r="E72" s="172">
        <v>167600</v>
      </c>
      <c r="F72" s="173">
        <f t="shared" si="0"/>
        <v>172.94</v>
      </c>
      <c r="G72" s="194">
        <v>172.9</v>
      </c>
    </row>
    <row r="73" spans="1:7" ht="15.75">
      <c r="A73" s="174" t="s">
        <v>1110</v>
      </c>
      <c r="B73" s="175" t="s">
        <v>1558</v>
      </c>
      <c r="C73" s="172">
        <v>639000</v>
      </c>
      <c r="D73" s="172">
        <v>591003.89</v>
      </c>
      <c r="E73" s="172">
        <v>639000</v>
      </c>
      <c r="F73" s="173">
        <f t="shared" si="0"/>
        <v>591</v>
      </c>
      <c r="G73" s="194">
        <v>591</v>
      </c>
    </row>
    <row r="74" spans="1:7" ht="15.75">
      <c r="A74" s="174" t="s">
        <v>1112</v>
      </c>
      <c r="B74" s="175" t="s">
        <v>1559</v>
      </c>
      <c r="C74" s="172">
        <v>3829000</v>
      </c>
      <c r="D74" s="172">
        <v>3875748.83</v>
      </c>
      <c r="E74" s="172">
        <v>3829000</v>
      </c>
      <c r="F74" s="173">
        <f t="shared" ref="F74:F138" si="1">D74/1000</f>
        <v>3875.75</v>
      </c>
      <c r="G74" s="194">
        <v>3875.8</v>
      </c>
    </row>
    <row r="75" spans="1:7" ht="31.5">
      <c r="A75" s="174" t="s">
        <v>1114</v>
      </c>
      <c r="B75" s="175" t="s">
        <v>1560</v>
      </c>
      <c r="C75" s="172">
        <v>0</v>
      </c>
      <c r="D75" s="172">
        <v>120.04</v>
      </c>
      <c r="E75" s="172">
        <v>0</v>
      </c>
      <c r="F75" s="173">
        <f t="shared" si="1"/>
        <v>0.12</v>
      </c>
      <c r="G75" s="194">
        <v>0.1</v>
      </c>
    </row>
    <row r="76" spans="1:7" ht="15.75">
      <c r="A76" s="174" t="s">
        <v>1561</v>
      </c>
      <c r="B76" s="175" t="s">
        <v>1562</v>
      </c>
      <c r="C76" s="172">
        <f>SUM(C77:C79)</f>
        <v>390000</v>
      </c>
      <c r="D76" s="172">
        <f>SUM(D77:D79)</f>
        <v>416156.95</v>
      </c>
      <c r="E76" s="172">
        <f>SUM(E77:E79)</f>
        <v>390000</v>
      </c>
      <c r="F76" s="173">
        <f t="shared" si="1"/>
        <v>416.16</v>
      </c>
      <c r="G76" s="194">
        <f>SUM(G77:G79)</f>
        <v>416.2</v>
      </c>
    </row>
    <row r="77" spans="1:7" ht="47.25">
      <c r="A77" s="174" t="s">
        <v>1194</v>
      </c>
      <c r="B77" s="175" t="s">
        <v>1563</v>
      </c>
      <c r="C77" s="172">
        <v>90000</v>
      </c>
      <c r="D77" s="172">
        <v>87583.95</v>
      </c>
      <c r="E77" s="172">
        <v>90000</v>
      </c>
      <c r="F77" s="173">
        <f t="shared" si="1"/>
        <v>87.58</v>
      </c>
      <c r="G77" s="194">
        <v>87.6</v>
      </c>
    </row>
    <row r="78" spans="1:7" ht="63">
      <c r="A78" s="174" t="s">
        <v>1564</v>
      </c>
      <c r="B78" s="175" t="s">
        <v>1565</v>
      </c>
      <c r="C78" s="172">
        <v>100000</v>
      </c>
      <c r="D78" s="172">
        <v>135000</v>
      </c>
      <c r="E78" s="172">
        <v>100000</v>
      </c>
      <c r="F78" s="173">
        <f t="shared" si="1"/>
        <v>135</v>
      </c>
      <c r="G78" s="194">
        <v>135</v>
      </c>
    </row>
    <row r="79" spans="1:7" ht="31.5">
      <c r="A79" s="174" t="s">
        <v>1422</v>
      </c>
      <c r="B79" s="175" t="s">
        <v>1566</v>
      </c>
      <c r="C79" s="172">
        <v>200000</v>
      </c>
      <c r="D79" s="172">
        <v>193573</v>
      </c>
      <c r="E79" s="172">
        <v>200000</v>
      </c>
      <c r="F79" s="173">
        <f t="shared" si="1"/>
        <v>193.57</v>
      </c>
      <c r="G79" s="194">
        <v>193.6</v>
      </c>
    </row>
    <row r="80" spans="1:7" ht="15.75">
      <c r="A80" s="174" t="s">
        <v>1567</v>
      </c>
      <c r="B80" s="175" t="s">
        <v>1568</v>
      </c>
      <c r="C80" s="172">
        <f>SUM(C81:C83)</f>
        <v>32465000</v>
      </c>
      <c r="D80" s="172">
        <f>SUM(D81:D83)</f>
        <v>31487741.539999999</v>
      </c>
      <c r="E80" s="172">
        <f>SUM(E81:E83)</f>
        <v>32465000</v>
      </c>
      <c r="F80" s="173">
        <f t="shared" si="1"/>
        <v>31487.74</v>
      </c>
      <c r="G80" s="194">
        <f>SUM(G81:G83)</f>
        <v>31487.7</v>
      </c>
    </row>
    <row r="81" spans="1:7" ht="47.25">
      <c r="A81" s="174" t="s">
        <v>1569</v>
      </c>
      <c r="B81" s="175" t="s">
        <v>1570</v>
      </c>
      <c r="C81" s="172">
        <v>2789000</v>
      </c>
      <c r="D81" s="172">
        <v>2354801.9300000002</v>
      </c>
      <c r="E81" s="172">
        <v>2789000</v>
      </c>
      <c r="F81" s="173">
        <f t="shared" si="1"/>
        <v>2354.8000000000002</v>
      </c>
      <c r="G81" s="194">
        <v>2354.8000000000002</v>
      </c>
    </row>
    <row r="82" spans="1:7" ht="47.25">
      <c r="A82" s="174" t="s">
        <v>1571</v>
      </c>
      <c r="B82" s="175" t="s">
        <v>1572</v>
      </c>
      <c r="C82" s="172">
        <v>13832000</v>
      </c>
      <c r="D82" s="172">
        <v>13169202.720000001</v>
      </c>
      <c r="E82" s="172">
        <v>13832000</v>
      </c>
      <c r="F82" s="173">
        <f t="shared" si="1"/>
        <v>13169.2</v>
      </c>
      <c r="G82" s="194">
        <v>13169.2</v>
      </c>
    </row>
    <row r="83" spans="1:7" ht="47.25">
      <c r="A83" s="174" t="s">
        <v>1573</v>
      </c>
      <c r="B83" s="175" t="s">
        <v>1574</v>
      </c>
      <c r="C83" s="172">
        <v>15844000</v>
      </c>
      <c r="D83" s="172">
        <v>15963736.890000001</v>
      </c>
      <c r="E83" s="172">
        <v>15844000</v>
      </c>
      <c r="F83" s="173">
        <f t="shared" si="1"/>
        <v>15963.74</v>
      </c>
      <c r="G83" s="194">
        <v>15963.7</v>
      </c>
    </row>
    <row r="84" spans="1:7" ht="94.5">
      <c r="A84" s="174" t="s">
        <v>1292</v>
      </c>
      <c r="B84" s="175" t="s">
        <v>1575</v>
      </c>
      <c r="C84" s="172">
        <v>0</v>
      </c>
      <c r="D84" s="172">
        <v>306000</v>
      </c>
      <c r="E84" s="172">
        <v>0</v>
      </c>
      <c r="F84" s="173">
        <f t="shared" si="1"/>
        <v>306</v>
      </c>
      <c r="G84" s="194">
        <v>306</v>
      </c>
    </row>
    <row r="85" spans="1:7" ht="31.5">
      <c r="A85" s="174" t="s">
        <v>1576</v>
      </c>
      <c r="B85" s="175" t="s">
        <v>1577</v>
      </c>
      <c r="C85" s="172">
        <v>7310000</v>
      </c>
      <c r="D85" s="172">
        <v>6475724.7300000004</v>
      </c>
      <c r="E85" s="172">
        <v>7310000</v>
      </c>
      <c r="F85" s="173">
        <f t="shared" si="1"/>
        <v>6475.72</v>
      </c>
      <c r="G85" s="194">
        <v>6475.7</v>
      </c>
    </row>
    <row r="86" spans="1:7" ht="47.25">
      <c r="A86" s="174" t="s">
        <v>1578</v>
      </c>
      <c r="B86" s="175" t="s">
        <v>1579</v>
      </c>
      <c r="C86" s="172">
        <v>3860000</v>
      </c>
      <c r="D86" s="172">
        <v>3286649.53</v>
      </c>
      <c r="E86" s="172">
        <v>3860000</v>
      </c>
      <c r="F86" s="173">
        <f t="shared" si="1"/>
        <v>3286.65</v>
      </c>
      <c r="G86" s="194">
        <v>3286.7</v>
      </c>
    </row>
    <row r="87" spans="1:7" ht="47.25">
      <c r="A87" s="174" t="s">
        <v>1580</v>
      </c>
      <c r="B87" s="175" t="s">
        <v>1581</v>
      </c>
      <c r="C87" s="172">
        <v>300000</v>
      </c>
      <c r="D87" s="172">
        <v>169497.91</v>
      </c>
      <c r="E87" s="172">
        <v>300000</v>
      </c>
      <c r="F87" s="173">
        <f t="shared" si="1"/>
        <v>169.5</v>
      </c>
      <c r="G87" s="194">
        <v>169.5</v>
      </c>
    </row>
    <row r="88" spans="1:7" ht="31.5">
      <c r="A88" s="174" t="s">
        <v>1582</v>
      </c>
      <c r="B88" s="175" t="s">
        <v>1583</v>
      </c>
      <c r="C88" s="172">
        <v>3150000</v>
      </c>
      <c r="D88" s="172">
        <v>3019577.29</v>
      </c>
      <c r="E88" s="172">
        <v>3150000</v>
      </c>
      <c r="F88" s="173">
        <f t="shared" si="1"/>
        <v>3019.58</v>
      </c>
      <c r="G88" s="194">
        <v>3019.6</v>
      </c>
    </row>
    <row r="89" spans="1:7" ht="31.5">
      <c r="A89" s="174" t="s">
        <v>1584</v>
      </c>
      <c r="B89" s="175" t="s">
        <v>1585</v>
      </c>
      <c r="C89" s="172">
        <v>5200000</v>
      </c>
      <c r="D89" s="172">
        <v>5469728.8799999999</v>
      </c>
      <c r="E89" s="172">
        <f>E90+E91</f>
        <v>5200000</v>
      </c>
      <c r="F89" s="173">
        <f t="shared" si="1"/>
        <v>5469.73</v>
      </c>
      <c r="G89" s="194">
        <f>G90+G91</f>
        <v>5469.7</v>
      </c>
    </row>
    <row r="90" spans="1:7" ht="126">
      <c r="A90" s="174" t="s">
        <v>1400</v>
      </c>
      <c r="B90" s="175" t="s">
        <v>1586</v>
      </c>
      <c r="C90" s="172">
        <v>4100000</v>
      </c>
      <c r="D90" s="172">
        <v>4099007.51</v>
      </c>
      <c r="E90" s="172">
        <v>4100000</v>
      </c>
      <c r="F90" s="173">
        <f t="shared" si="1"/>
        <v>4099.01</v>
      </c>
      <c r="G90" s="194">
        <v>4099</v>
      </c>
    </row>
    <row r="91" spans="1:7" ht="63">
      <c r="A91" s="174" t="s">
        <v>1587</v>
      </c>
      <c r="B91" s="175" t="s">
        <v>1588</v>
      </c>
      <c r="C91" s="172">
        <f>SUM(C92:C93)</f>
        <v>1100000</v>
      </c>
      <c r="D91" s="172">
        <f>SUM(D92:D93)</f>
        <v>1370721.37</v>
      </c>
      <c r="E91" s="172">
        <f>SUM(E92:E93)</f>
        <v>1100000</v>
      </c>
      <c r="F91" s="173">
        <f t="shared" si="1"/>
        <v>1370.72</v>
      </c>
      <c r="G91" s="194">
        <f>SUM(G92:G93)</f>
        <v>1370.7</v>
      </c>
    </row>
    <row r="92" spans="1:7" ht="47.25">
      <c r="A92" s="174" t="s">
        <v>1102</v>
      </c>
      <c r="B92" s="175" t="s">
        <v>1589</v>
      </c>
      <c r="C92" s="172">
        <v>1100000</v>
      </c>
      <c r="D92" s="172">
        <v>1306939.29</v>
      </c>
      <c r="E92" s="172">
        <v>1100000</v>
      </c>
      <c r="F92" s="173">
        <f t="shared" si="1"/>
        <v>1306.94</v>
      </c>
      <c r="G92" s="194">
        <v>1306.9000000000001</v>
      </c>
    </row>
    <row r="93" spans="1:7" ht="63">
      <c r="A93" s="174" t="s">
        <v>1402</v>
      </c>
      <c r="B93" s="175" t="s">
        <v>1590</v>
      </c>
      <c r="C93" s="172">
        <v>0</v>
      </c>
      <c r="D93" s="172">
        <v>63782.080000000002</v>
      </c>
      <c r="E93" s="172">
        <v>0</v>
      </c>
      <c r="F93" s="173">
        <f t="shared" si="1"/>
        <v>63.78</v>
      </c>
      <c r="G93" s="194">
        <v>63.8</v>
      </c>
    </row>
    <row r="94" spans="1:7" ht="15.75">
      <c r="A94" s="174" t="s">
        <v>1591</v>
      </c>
      <c r="B94" s="175" t="s">
        <v>1592</v>
      </c>
      <c r="C94" s="172">
        <v>450000</v>
      </c>
      <c r="D94" s="172">
        <v>492250</v>
      </c>
      <c r="E94" s="172">
        <f>E95</f>
        <v>450000</v>
      </c>
      <c r="F94" s="173">
        <f t="shared" si="1"/>
        <v>492.25</v>
      </c>
      <c r="G94" s="194">
        <f>G95</f>
        <v>492.2</v>
      </c>
    </row>
    <row r="95" spans="1:7" ht="47.25">
      <c r="A95" s="174" t="s">
        <v>1435</v>
      </c>
      <c r="B95" s="175" t="s">
        <v>1593</v>
      </c>
      <c r="C95" s="172">
        <v>450000</v>
      </c>
      <c r="D95" s="172">
        <v>492250</v>
      </c>
      <c r="E95" s="172">
        <v>450000</v>
      </c>
      <c r="F95" s="173">
        <f t="shared" si="1"/>
        <v>492.25</v>
      </c>
      <c r="G95" s="194">
        <v>492.2</v>
      </c>
    </row>
    <row r="96" spans="1:7" ht="15.75">
      <c r="A96" s="174" t="s">
        <v>1594</v>
      </c>
      <c r="B96" s="175" t="s">
        <v>1595</v>
      </c>
      <c r="C96" s="172">
        <v>55926000</v>
      </c>
      <c r="D96" s="172">
        <v>60242188.280000001</v>
      </c>
      <c r="E96" s="172">
        <f>SUM(E97:E104)</f>
        <v>55926000</v>
      </c>
      <c r="F96" s="173">
        <f t="shared" si="1"/>
        <v>60242.19</v>
      </c>
      <c r="G96" s="194">
        <f>SUM(G97:G104)</f>
        <v>60242.2</v>
      </c>
    </row>
    <row r="97" spans="1:7" ht="94.5">
      <c r="A97" s="174" t="s">
        <v>1596</v>
      </c>
      <c r="B97" s="175" t="s">
        <v>1597</v>
      </c>
      <c r="C97" s="172">
        <v>37000</v>
      </c>
      <c r="D97" s="172">
        <v>38608.74</v>
      </c>
      <c r="E97" s="172">
        <v>37000</v>
      </c>
      <c r="F97" s="173">
        <f t="shared" si="1"/>
        <v>38.61</v>
      </c>
      <c r="G97" s="194">
        <v>38.6</v>
      </c>
    </row>
    <row r="98" spans="1:7" ht="47.25">
      <c r="A98" s="174" t="s">
        <v>1196</v>
      </c>
      <c r="B98" s="175" t="s">
        <v>1598</v>
      </c>
      <c r="C98" s="172">
        <v>0</v>
      </c>
      <c r="D98" s="172">
        <v>-349.05</v>
      </c>
      <c r="E98" s="172">
        <v>0</v>
      </c>
      <c r="F98" s="173">
        <f t="shared" si="1"/>
        <v>-0.35</v>
      </c>
      <c r="G98" s="194">
        <v>-0.4</v>
      </c>
    </row>
    <row r="99" spans="1:7" ht="31.5">
      <c r="A99" s="174" t="s">
        <v>1138</v>
      </c>
      <c r="B99" s="175" t="s">
        <v>1599</v>
      </c>
      <c r="C99" s="172">
        <v>95000</v>
      </c>
      <c r="D99" s="172">
        <v>86400</v>
      </c>
      <c r="E99" s="172">
        <v>95000</v>
      </c>
      <c r="F99" s="173">
        <f t="shared" si="1"/>
        <v>86.4</v>
      </c>
      <c r="G99" s="194">
        <v>86.4</v>
      </c>
    </row>
    <row r="100" spans="1:7" ht="47.25">
      <c r="A100" s="174" t="s">
        <v>1118</v>
      </c>
      <c r="B100" s="175" t="s">
        <v>1600</v>
      </c>
      <c r="C100" s="172">
        <v>2600000</v>
      </c>
      <c r="D100" s="172">
        <v>2952673.22</v>
      </c>
      <c r="E100" s="172">
        <v>2600000</v>
      </c>
      <c r="F100" s="173">
        <f t="shared" si="1"/>
        <v>2952.67</v>
      </c>
      <c r="G100" s="194">
        <v>2952.7</v>
      </c>
    </row>
    <row r="101" spans="1:7" ht="47.25">
      <c r="A101" s="174" t="s">
        <v>1200</v>
      </c>
      <c r="B101" s="175" t="s">
        <v>1601</v>
      </c>
      <c r="C101" s="172">
        <v>47476000</v>
      </c>
      <c r="D101" s="172">
        <v>51685266.560000002</v>
      </c>
      <c r="E101" s="172">
        <v>47476000</v>
      </c>
      <c r="F101" s="173">
        <f t="shared" si="1"/>
        <v>51685.27</v>
      </c>
      <c r="G101" s="194">
        <v>51685.3</v>
      </c>
    </row>
    <row r="102" spans="1:7" ht="63">
      <c r="A102" s="174" t="s">
        <v>1363</v>
      </c>
      <c r="B102" s="175" t="s">
        <v>1602</v>
      </c>
      <c r="C102" s="172">
        <v>0</v>
      </c>
      <c r="D102" s="172">
        <v>-288137.59999999998</v>
      </c>
      <c r="E102" s="172">
        <v>0</v>
      </c>
      <c r="F102" s="173">
        <f t="shared" si="1"/>
        <v>-288.14</v>
      </c>
      <c r="G102" s="194">
        <v>-288.10000000000002</v>
      </c>
    </row>
    <row r="103" spans="1:7" ht="63">
      <c r="A103" s="174" t="s">
        <v>1140</v>
      </c>
      <c r="B103" s="175" t="s">
        <v>1603</v>
      </c>
      <c r="C103" s="172">
        <v>440000</v>
      </c>
      <c r="D103" s="172">
        <v>422000</v>
      </c>
      <c r="E103" s="172">
        <v>440000</v>
      </c>
      <c r="F103" s="173">
        <f t="shared" si="1"/>
        <v>422</v>
      </c>
      <c r="G103" s="194">
        <v>422</v>
      </c>
    </row>
    <row r="104" spans="1:7" ht="47.25">
      <c r="A104" s="174" t="s">
        <v>1214</v>
      </c>
      <c r="B104" s="175" t="s">
        <v>1604</v>
      </c>
      <c r="C104" s="172">
        <v>5278000</v>
      </c>
      <c r="D104" s="172">
        <v>5345726.41</v>
      </c>
      <c r="E104" s="172">
        <v>5278000</v>
      </c>
      <c r="F104" s="173">
        <f t="shared" si="1"/>
        <v>5345.73</v>
      </c>
      <c r="G104" s="194">
        <v>5345.7</v>
      </c>
    </row>
    <row r="105" spans="1:7" ht="15.75">
      <c r="A105" s="174" t="s">
        <v>1605</v>
      </c>
      <c r="B105" s="175" t="s">
        <v>1606</v>
      </c>
      <c r="C105" s="172">
        <v>14749400</v>
      </c>
      <c r="D105" s="172">
        <v>13971347.960000001</v>
      </c>
      <c r="E105" s="172">
        <f>SUM(E106:E107)</f>
        <v>14749400</v>
      </c>
      <c r="F105" s="173">
        <f t="shared" si="1"/>
        <v>13971.35</v>
      </c>
      <c r="G105" s="194">
        <f>SUM(G106:G107)</f>
        <v>13971.3</v>
      </c>
    </row>
    <row r="106" spans="1:7" ht="31.5">
      <c r="A106" s="174" t="s">
        <v>1288</v>
      </c>
      <c r="B106" s="175" t="s">
        <v>1607</v>
      </c>
      <c r="C106" s="172">
        <v>0</v>
      </c>
      <c r="D106" s="172">
        <v>284225.03999999998</v>
      </c>
      <c r="E106" s="172">
        <v>0</v>
      </c>
      <c r="F106" s="173">
        <f t="shared" si="1"/>
        <v>284.23</v>
      </c>
      <c r="G106" s="194">
        <v>284.2</v>
      </c>
    </row>
    <row r="107" spans="1:7" ht="31.5">
      <c r="A107" s="174" t="s">
        <v>1216</v>
      </c>
      <c r="B107" s="175" t="s">
        <v>1608</v>
      </c>
      <c r="C107" s="172">
        <v>14749400</v>
      </c>
      <c r="D107" s="172">
        <v>13687122.92</v>
      </c>
      <c r="E107" s="172">
        <v>14749400</v>
      </c>
      <c r="F107" s="173">
        <f t="shared" si="1"/>
        <v>13687.12</v>
      </c>
      <c r="G107" s="194">
        <v>13687.1</v>
      </c>
    </row>
    <row r="108" spans="1:7" ht="15.75">
      <c r="A108" s="174" t="s">
        <v>1609</v>
      </c>
      <c r="B108" s="175" t="s">
        <v>1610</v>
      </c>
      <c r="C108" s="172">
        <v>11600562100.84</v>
      </c>
      <c r="D108" s="172">
        <v>11602698118.459999</v>
      </c>
      <c r="E108" s="218"/>
      <c r="F108" s="173">
        <f t="shared" si="1"/>
        <v>11602698.119999999</v>
      </c>
      <c r="G108" s="194">
        <f>G109+G191+G196+G199+G208</f>
        <v>11602698.1</v>
      </c>
    </row>
    <row r="109" spans="1:7" ht="47.25">
      <c r="A109" s="174" t="s">
        <v>1611</v>
      </c>
      <c r="B109" s="175" t="s">
        <v>1612</v>
      </c>
      <c r="C109" s="172">
        <v>11374546386.860001</v>
      </c>
      <c r="D109" s="172">
        <v>11374537542.51</v>
      </c>
      <c r="E109" s="218"/>
      <c r="F109" s="173">
        <f t="shared" si="1"/>
        <v>11374537.539999999</v>
      </c>
      <c r="G109" s="194">
        <f>G110+G113+G155+G178</f>
        <v>11374537.6</v>
      </c>
    </row>
    <row r="110" spans="1:7" ht="62.25" customHeight="1">
      <c r="A110" s="174" t="s">
        <v>1613</v>
      </c>
      <c r="B110" s="175" t="s">
        <v>1614</v>
      </c>
      <c r="C110" s="172">
        <v>7539760400</v>
      </c>
      <c r="D110" s="172">
        <v>7539760400</v>
      </c>
      <c r="E110" s="218"/>
      <c r="F110" s="173">
        <f t="shared" si="1"/>
        <v>7539760.4000000004</v>
      </c>
      <c r="G110" s="194">
        <f>G111+G112</f>
        <v>7539760.4000000004</v>
      </c>
    </row>
    <row r="111" spans="1:7" ht="31.5">
      <c r="A111" s="174" t="s">
        <v>1344</v>
      </c>
      <c r="B111" s="175" t="s">
        <v>1615</v>
      </c>
      <c r="C111" s="172">
        <v>7253703800</v>
      </c>
      <c r="D111" s="172">
        <v>7253703800</v>
      </c>
      <c r="E111" s="218"/>
      <c r="F111" s="173">
        <f t="shared" si="1"/>
        <v>7253703.7999999998</v>
      </c>
      <c r="G111" s="194">
        <v>7253703.7999999998</v>
      </c>
    </row>
    <row r="112" spans="1:7" ht="47.25">
      <c r="A112" s="174" t="s">
        <v>1346</v>
      </c>
      <c r="B112" s="175" t="s">
        <v>1616</v>
      </c>
      <c r="C112" s="172">
        <v>286056600</v>
      </c>
      <c r="D112" s="172">
        <v>286056600</v>
      </c>
      <c r="E112" s="218"/>
      <c r="F112" s="173">
        <f t="shared" si="1"/>
        <v>286056.59999999998</v>
      </c>
      <c r="G112" s="194">
        <v>286056.59999999998</v>
      </c>
    </row>
    <row r="113" spans="1:7" ht="31.5">
      <c r="A113" s="174" t="s">
        <v>1752</v>
      </c>
      <c r="B113" s="175" t="s">
        <v>1751</v>
      </c>
      <c r="C113" s="172">
        <v>3027865671</v>
      </c>
      <c r="D113" s="172">
        <v>3027865671</v>
      </c>
      <c r="E113" s="218"/>
      <c r="F113" s="173">
        <f t="shared" si="1"/>
        <v>3027865.67</v>
      </c>
      <c r="G113" s="194">
        <f>SUM(G114:G154)</f>
        <v>3027865.7</v>
      </c>
    </row>
    <row r="114" spans="1:7" ht="31.5">
      <c r="A114" s="174" t="s">
        <v>1364</v>
      </c>
      <c r="B114" s="175" t="s">
        <v>1617</v>
      </c>
      <c r="C114" s="172">
        <v>37741900</v>
      </c>
      <c r="D114" s="172">
        <v>37741900</v>
      </c>
      <c r="E114" s="218"/>
      <c r="F114" s="173">
        <f t="shared" si="1"/>
        <v>37741.9</v>
      </c>
      <c r="G114" s="194">
        <v>37741.9</v>
      </c>
    </row>
    <row r="115" spans="1:7" ht="63">
      <c r="A115" s="174" t="s">
        <v>1445</v>
      </c>
      <c r="B115" s="175" t="s">
        <v>1618</v>
      </c>
      <c r="C115" s="172">
        <v>35168763</v>
      </c>
      <c r="D115" s="172">
        <v>35168763</v>
      </c>
      <c r="E115" s="218"/>
      <c r="F115" s="173">
        <f t="shared" si="1"/>
        <v>35168.76</v>
      </c>
      <c r="G115" s="194">
        <v>35168.800000000003</v>
      </c>
    </row>
    <row r="116" spans="1:7" ht="47.25">
      <c r="A116" s="174" t="s">
        <v>1366</v>
      </c>
      <c r="B116" s="175" t="s">
        <v>1619</v>
      </c>
      <c r="C116" s="172">
        <v>4942000</v>
      </c>
      <c r="D116" s="172">
        <v>4942000</v>
      </c>
      <c r="E116" s="218"/>
      <c r="F116" s="173">
        <f t="shared" si="1"/>
        <v>4942</v>
      </c>
      <c r="G116" s="194">
        <v>4942</v>
      </c>
    </row>
    <row r="117" spans="1:7" ht="47.25">
      <c r="A117" s="174" t="s">
        <v>1258</v>
      </c>
      <c r="B117" s="175" t="s">
        <v>1620</v>
      </c>
      <c r="C117" s="172">
        <v>39306200</v>
      </c>
      <c r="D117" s="172">
        <v>39306200</v>
      </c>
      <c r="E117" s="218"/>
      <c r="F117" s="173">
        <f t="shared" si="1"/>
        <v>39306.199999999997</v>
      </c>
      <c r="G117" s="194">
        <v>39306.199999999997</v>
      </c>
    </row>
    <row r="118" spans="1:7" ht="31.5">
      <c r="A118" s="174" t="s">
        <v>1621</v>
      </c>
      <c r="B118" s="175" t="s">
        <v>1622</v>
      </c>
      <c r="C118" s="172">
        <v>42683450</v>
      </c>
      <c r="D118" s="172">
        <v>42683450</v>
      </c>
      <c r="E118" s="218"/>
      <c r="F118" s="173">
        <f t="shared" si="1"/>
        <v>42683.45</v>
      </c>
      <c r="G118" s="194">
        <v>42683.4</v>
      </c>
    </row>
    <row r="119" spans="1:7" ht="31.5">
      <c r="A119" s="174" t="s">
        <v>1262</v>
      </c>
      <c r="B119" s="175" t="s">
        <v>1623</v>
      </c>
      <c r="C119" s="172">
        <v>600000</v>
      </c>
      <c r="D119" s="172">
        <v>600000</v>
      </c>
      <c r="E119" s="218"/>
      <c r="F119" s="173">
        <f t="shared" si="1"/>
        <v>600</v>
      </c>
      <c r="G119" s="194">
        <v>600</v>
      </c>
    </row>
    <row r="120" spans="1:7" ht="78.75">
      <c r="A120" s="174" t="s">
        <v>1296</v>
      </c>
      <c r="B120" s="175" t="s">
        <v>1624</v>
      </c>
      <c r="C120" s="172">
        <v>1982898400</v>
      </c>
      <c r="D120" s="172">
        <v>1982898400</v>
      </c>
      <c r="E120" s="218"/>
      <c r="F120" s="173">
        <f t="shared" si="1"/>
        <v>1982898.4</v>
      </c>
      <c r="G120" s="194">
        <v>1982898.4</v>
      </c>
    </row>
    <row r="121" spans="1:7" ht="63">
      <c r="A121" s="174" t="s">
        <v>1298</v>
      </c>
      <c r="B121" s="175" t="s">
        <v>1625</v>
      </c>
      <c r="C121" s="172">
        <v>25714000</v>
      </c>
      <c r="D121" s="172">
        <v>25714000</v>
      </c>
      <c r="E121" s="218"/>
      <c r="F121" s="173">
        <f t="shared" si="1"/>
        <v>25714</v>
      </c>
      <c r="G121" s="194">
        <v>25714</v>
      </c>
    </row>
    <row r="122" spans="1:7" ht="141.75">
      <c r="A122" s="174" t="s">
        <v>1218</v>
      </c>
      <c r="B122" s="175" t="s">
        <v>1626</v>
      </c>
      <c r="C122" s="172">
        <v>1945500</v>
      </c>
      <c r="D122" s="172">
        <v>1945500</v>
      </c>
      <c r="E122" s="218"/>
      <c r="F122" s="173">
        <f t="shared" si="1"/>
        <v>1945.5</v>
      </c>
      <c r="G122" s="194">
        <v>1945.5</v>
      </c>
    </row>
    <row r="123" spans="1:7" ht="63">
      <c r="A123" s="174" t="s">
        <v>1352</v>
      </c>
      <c r="B123" s="175" t="s">
        <v>1627</v>
      </c>
      <c r="C123" s="172">
        <v>630000</v>
      </c>
      <c r="D123" s="172">
        <v>630000</v>
      </c>
      <c r="E123" s="218"/>
      <c r="F123" s="173">
        <f t="shared" si="1"/>
        <v>630</v>
      </c>
      <c r="G123" s="194">
        <v>630</v>
      </c>
    </row>
    <row r="124" spans="1:7" ht="63">
      <c r="A124" s="174" t="s">
        <v>1440</v>
      </c>
      <c r="B124" s="175" t="s">
        <v>1628</v>
      </c>
      <c r="C124" s="172">
        <v>17222200</v>
      </c>
      <c r="D124" s="172">
        <v>17222200</v>
      </c>
      <c r="E124" s="218"/>
      <c r="F124" s="173">
        <f t="shared" si="1"/>
        <v>17222.2</v>
      </c>
      <c r="G124" s="194">
        <v>17222.2</v>
      </c>
    </row>
    <row r="125" spans="1:7" ht="94.5">
      <c r="A125" s="174" t="s">
        <v>1368</v>
      </c>
      <c r="B125" s="175" t="s">
        <v>1629</v>
      </c>
      <c r="C125" s="172">
        <v>6426300</v>
      </c>
      <c r="D125" s="172">
        <v>6426300</v>
      </c>
      <c r="E125" s="218"/>
      <c r="F125" s="173">
        <f t="shared" si="1"/>
        <v>6426.3</v>
      </c>
      <c r="G125" s="194">
        <v>6426.3</v>
      </c>
    </row>
    <row r="126" spans="1:7" ht="78.75">
      <c r="A126" s="174" t="s">
        <v>1630</v>
      </c>
      <c r="B126" s="175" t="s">
        <v>1631</v>
      </c>
      <c r="C126" s="172">
        <v>976100</v>
      </c>
      <c r="D126" s="172">
        <v>976100</v>
      </c>
      <c r="E126" s="218"/>
      <c r="F126" s="173">
        <f t="shared" si="1"/>
        <v>976.1</v>
      </c>
      <c r="G126" s="194">
        <v>976.1</v>
      </c>
    </row>
    <row r="127" spans="1:7" ht="47.25">
      <c r="A127" s="174" t="s">
        <v>1222</v>
      </c>
      <c r="B127" s="175" t="s">
        <v>1632</v>
      </c>
      <c r="C127" s="172">
        <v>1613800</v>
      </c>
      <c r="D127" s="172">
        <v>1613800</v>
      </c>
      <c r="E127" s="218"/>
      <c r="F127" s="173">
        <f t="shared" si="1"/>
        <v>1613.8</v>
      </c>
      <c r="G127" s="194">
        <v>1613.8</v>
      </c>
    </row>
    <row r="128" spans="1:7" ht="31.5">
      <c r="A128" s="174" t="s">
        <v>1224</v>
      </c>
      <c r="B128" s="175" t="s">
        <v>1633</v>
      </c>
      <c r="C128" s="172">
        <v>15345300</v>
      </c>
      <c r="D128" s="172">
        <v>15345300</v>
      </c>
      <c r="E128" s="218"/>
      <c r="F128" s="173">
        <f t="shared" si="1"/>
        <v>15345.3</v>
      </c>
      <c r="G128" s="194">
        <v>15345.3</v>
      </c>
    </row>
    <row r="129" spans="1:7" ht="63">
      <c r="A129" s="174" t="s">
        <v>1406</v>
      </c>
      <c r="B129" s="175" t="s">
        <v>1634</v>
      </c>
      <c r="C129" s="172">
        <v>4729958</v>
      </c>
      <c r="D129" s="172">
        <v>4729958</v>
      </c>
      <c r="E129" s="218"/>
      <c r="F129" s="173">
        <f t="shared" si="1"/>
        <v>4729.96</v>
      </c>
      <c r="G129" s="194">
        <v>4730</v>
      </c>
    </row>
    <row r="130" spans="1:7" ht="31.5">
      <c r="A130" s="174" t="s">
        <v>1264</v>
      </c>
      <c r="B130" s="175" t="s">
        <v>1635</v>
      </c>
      <c r="C130" s="172">
        <v>167212000</v>
      </c>
      <c r="D130" s="172">
        <v>167212000</v>
      </c>
      <c r="E130" s="218"/>
      <c r="F130" s="173">
        <f t="shared" si="1"/>
        <v>167212</v>
      </c>
      <c r="G130" s="194">
        <v>167212</v>
      </c>
    </row>
    <row r="131" spans="1:7" ht="47.25">
      <c r="A131" s="174" t="s">
        <v>1636</v>
      </c>
      <c r="B131" s="175" t="s">
        <v>1637</v>
      </c>
      <c r="C131" s="172">
        <v>92915000</v>
      </c>
      <c r="D131" s="172">
        <v>92915000</v>
      </c>
      <c r="E131" s="218"/>
      <c r="F131" s="173">
        <f t="shared" si="1"/>
        <v>92915</v>
      </c>
      <c r="G131" s="194">
        <v>92915</v>
      </c>
    </row>
    <row r="132" spans="1:7" ht="63">
      <c r="A132" s="174" t="s">
        <v>1266</v>
      </c>
      <c r="B132" s="175" t="s">
        <v>1638</v>
      </c>
      <c r="C132" s="172">
        <v>4694000</v>
      </c>
      <c r="D132" s="172">
        <v>4694000</v>
      </c>
      <c r="E132" s="218"/>
      <c r="F132" s="173">
        <f t="shared" si="1"/>
        <v>4694</v>
      </c>
      <c r="G132" s="194">
        <v>4694</v>
      </c>
    </row>
    <row r="133" spans="1:7" ht="78.75">
      <c r="A133" s="174" t="s">
        <v>1639</v>
      </c>
      <c r="B133" s="175" t="s">
        <v>1640</v>
      </c>
      <c r="C133" s="172">
        <v>63617200</v>
      </c>
      <c r="D133" s="172">
        <v>63617200</v>
      </c>
      <c r="E133" s="218"/>
      <c r="F133" s="173">
        <f t="shared" si="1"/>
        <v>63617.2</v>
      </c>
      <c r="G133" s="194">
        <v>63617.2</v>
      </c>
    </row>
    <row r="134" spans="1:7" ht="31.5">
      <c r="A134" s="174" t="s">
        <v>1300</v>
      </c>
      <c r="B134" s="175" t="s">
        <v>1641</v>
      </c>
      <c r="C134" s="172">
        <v>149400</v>
      </c>
      <c r="D134" s="172">
        <v>149400</v>
      </c>
      <c r="E134" s="218"/>
      <c r="F134" s="173">
        <f t="shared" si="1"/>
        <v>149.4</v>
      </c>
      <c r="G134" s="194">
        <v>149.4</v>
      </c>
    </row>
    <row r="135" spans="1:7" ht="63">
      <c r="A135" s="174" t="s">
        <v>1302</v>
      </c>
      <c r="B135" s="175" t="s">
        <v>1642</v>
      </c>
      <c r="C135" s="172">
        <v>200300</v>
      </c>
      <c r="D135" s="172">
        <v>200300</v>
      </c>
      <c r="E135" s="218"/>
      <c r="F135" s="173">
        <f t="shared" si="1"/>
        <v>200.3</v>
      </c>
      <c r="G135" s="194">
        <v>200.3</v>
      </c>
    </row>
    <row r="136" spans="1:7" ht="47.25">
      <c r="A136" s="174" t="s">
        <v>1304</v>
      </c>
      <c r="B136" s="175" t="s">
        <v>1643</v>
      </c>
      <c r="C136" s="172">
        <v>2939700</v>
      </c>
      <c r="D136" s="172">
        <v>2939700</v>
      </c>
      <c r="E136" s="218"/>
      <c r="F136" s="173">
        <f t="shared" si="1"/>
        <v>2939.7</v>
      </c>
      <c r="G136" s="194">
        <v>2939.7</v>
      </c>
    </row>
    <row r="137" spans="1:7" ht="63">
      <c r="A137" s="174" t="s">
        <v>1306</v>
      </c>
      <c r="B137" s="175" t="s">
        <v>1644</v>
      </c>
      <c r="C137" s="172">
        <v>1881000</v>
      </c>
      <c r="D137" s="172">
        <v>1881000</v>
      </c>
      <c r="E137" s="218"/>
      <c r="F137" s="173">
        <f t="shared" si="1"/>
        <v>1881</v>
      </c>
      <c r="G137" s="194">
        <v>1881</v>
      </c>
    </row>
    <row r="138" spans="1:7" ht="78.75">
      <c r="A138" s="174" t="s">
        <v>1308</v>
      </c>
      <c r="B138" s="175" t="s">
        <v>1645</v>
      </c>
      <c r="C138" s="172">
        <v>1827600</v>
      </c>
      <c r="D138" s="172">
        <v>1827600</v>
      </c>
      <c r="E138" s="218"/>
      <c r="F138" s="173">
        <f t="shared" si="1"/>
        <v>1827.6</v>
      </c>
      <c r="G138" s="194">
        <v>1827.6</v>
      </c>
    </row>
    <row r="139" spans="1:7" ht="47.25">
      <c r="A139" s="174" t="s">
        <v>1646</v>
      </c>
      <c r="B139" s="175" t="s">
        <v>1647</v>
      </c>
      <c r="C139" s="172">
        <v>27408000</v>
      </c>
      <c r="D139" s="172">
        <v>27408000</v>
      </c>
      <c r="E139" s="218"/>
      <c r="F139" s="173">
        <f t="shared" ref="F139:F202" si="2">D139/1000</f>
        <v>27408</v>
      </c>
      <c r="G139" s="194">
        <v>27408</v>
      </c>
    </row>
    <row r="140" spans="1:7" ht="31.5">
      <c r="A140" s="174" t="s">
        <v>1648</v>
      </c>
      <c r="B140" s="175" t="s">
        <v>1649</v>
      </c>
      <c r="C140" s="172">
        <v>23884000</v>
      </c>
      <c r="D140" s="172">
        <v>23884000</v>
      </c>
      <c r="E140" s="218"/>
      <c r="F140" s="173">
        <f t="shared" si="2"/>
        <v>23884</v>
      </c>
      <c r="G140" s="194">
        <v>23884</v>
      </c>
    </row>
    <row r="141" spans="1:7" ht="31.5">
      <c r="A141" s="174" t="s">
        <v>1650</v>
      </c>
      <c r="B141" s="175" t="s">
        <v>1651</v>
      </c>
      <c r="C141" s="172">
        <v>8404900</v>
      </c>
      <c r="D141" s="172">
        <v>8404900</v>
      </c>
      <c r="E141" s="218"/>
      <c r="F141" s="173">
        <f t="shared" si="2"/>
        <v>8404.9</v>
      </c>
      <c r="G141" s="194">
        <v>8404.9</v>
      </c>
    </row>
    <row r="142" spans="1:7" ht="47.25">
      <c r="A142" s="174" t="s">
        <v>1316</v>
      </c>
      <c r="B142" s="175" t="s">
        <v>1652</v>
      </c>
      <c r="C142" s="172">
        <v>17236300</v>
      </c>
      <c r="D142" s="172">
        <v>17236300</v>
      </c>
      <c r="E142" s="218"/>
      <c r="F142" s="173">
        <f t="shared" si="2"/>
        <v>17236.3</v>
      </c>
      <c r="G142" s="194">
        <v>17236.3</v>
      </c>
    </row>
    <row r="143" spans="1:7" ht="47.25">
      <c r="A143" s="174" t="s">
        <v>1653</v>
      </c>
      <c r="B143" s="175" t="s">
        <v>1654</v>
      </c>
      <c r="C143" s="172">
        <v>30013300</v>
      </c>
      <c r="D143" s="172">
        <v>30013300</v>
      </c>
      <c r="E143" s="218"/>
      <c r="F143" s="173">
        <f t="shared" si="2"/>
        <v>30013.3</v>
      </c>
      <c r="G143" s="194">
        <v>30013.3</v>
      </c>
    </row>
    <row r="144" spans="1:7" ht="47.25">
      <c r="A144" s="174" t="s">
        <v>1655</v>
      </c>
      <c r="B144" s="175" t="s">
        <v>1656</v>
      </c>
      <c r="C144" s="172">
        <v>3312000</v>
      </c>
      <c r="D144" s="172">
        <v>3312000</v>
      </c>
      <c r="E144" s="218"/>
      <c r="F144" s="173">
        <f t="shared" si="2"/>
        <v>3312</v>
      </c>
      <c r="G144" s="194">
        <v>3312</v>
      </c>
    </row>
    <row r="145" spans="1:7" ht="63">
      <c r="A145" s="174" t="s">
        <v>1322</v>
      </c>
      <c r="B145" s="175" t="s">
        <v>1657</v>
      </c>
      <c r="C145" s="172">
        <v>2655200</v>
      </c>
      <c r="D145" s="172">
        <v>2655200</v>
      </c>
      <c r="E145" s="218"/>
      <c r="F145" s="173">
        <f t="shared" si="2"/>
        <v>2655.2</v>
      </c>
      <c r="G145" s="194">
        <v>2655.2</v>
      </c>
    </row>
    <row r="146" spans="1:7" ht="78.75">
      <c r="A146" s="174" t="s">
        <v>1324</v>
      </c>
      <c r="B146" s="175" t="s">
        <v>1658</v>
      </c>
      <c r="C146" s="172">
        <v>4607300</v>
      </c>
      <c r="D146" s="172">
        <v>4607300</v>
      </c>
      <c r="E146" s="218"/>
      <c r="F146" s="173">
        <f t="shared" si="2"/>
        <v>4607.3</v>
      </c>
      <c r="G146" s="194">
        <v>4607.3</v>
      </c>
    </row>
    <row r="147" spans="1:7" ht="47.25">
      <c r="A147" s="174" t="s">
        <v>1326</v>
      </c>
      <c r="B147" s="175" t="s">
        <v>1659</v>
      </c>
      <c r="C147" s="172">
        <v>8551500</v>
      </c>
      <c r="D147" s="172">
        <v>8551500</v>
      </c>
      <c r="E147" s="218"/>
      <c r="F147" s="173">
        <f t="shared" si="2"/>
        <v>8551.5</v>
      </c>
      <c r="G147" s="194">
        <v>8551.5</v>
      </c>
    </row>
    <row r="148" spans="1:7" ht="47.25">
      <c r="A148" s="174" t="s">
        <v>1328</v>
      </c>
      <c r="B148" s="175" t="s">
        <v>1660</v>
      </c>
      <c r="C148" s="172">
        <v>27131000</v>
      </c>
      <c r="D148" s="172">
        <v>27131000</v>
      </c>
      <c r="E148" s="218"/>
      <c r="F148" s="173">
        <f t="shared" si="2"/>
        <v>27131</v>
      </c>
      <c r="G148" s="194">
        <v>27131</v>
      </c>
    </row>
    <row r="149" spans="1:7" ht="31.5">
      <c r="A149" s="174" t="s">
        <v>1661</v>
      </c>
      <c r="B149" s="175" t="s">
        <v>1662</v>
      </c>
      <c r="C149" s="172">
        <v>22871000</v>
      </c>
      <c r="D149" s="172">
        <v>22871000</v>
      </c>
      <c r="E149" s="218"/>
      <c r="F149" s="173">
        <f t="shared" si="2"/>
        <v>22871</v>
      </c>
      <c r="G149" s="194">
        <v>22871</v>
      </c>
    </row>
    <row r="150" spans="1:7" ht="31.5">
      <c r="A150" s="174" t="s">
        <v>1663</v>
      </c>
      <c r="B150" s="175" t="s">
        <v>1664</v>
      </c>
      <c r="C150" s="172">
        <v>18536000</v>
      </c>
      <c r="D150" s="172">
        <v>18536000</v>
      </c>
      <c r="E150" s="218"/>
      <c r="F150" s="173">
        <f t="shared" si="2"/>
        <v>18536</v>
      </c>
      <c r="G150" s="194">
        <v>18536</v>
      </c>
    </row>
    <row r="151" spans="1:7" ht="63">
      <c r="A151" s="174" t="s">
        <v>1665</v>
      </c>
      <c r="B151" s="175" t="s">
        <v>1666</v>
      </c>
      <c r="C151" s="172">
        <v>97362000</v>
      </c>
      <c r="D151" s="172">
        <v>97362000</v>
      </c>
      <c r="E151" s="218"/>
      <c r="F151" s="173">
        <f t="shared" si="2"/>
        <v>97362</v>
      </c>
      <c r="G151" s="194">
        <v>97362</v>
      </c>
    </row>
    <row r="152" spans="1:7" ht="78.75">
      <c r="A152" s="174" t="s">
        <v>1336</v>
      </c>
      <c r="B152" s="175" t="s">
        <v>1667</v>
      </c>
      <c r="C152" s="172">
        <v>2064300</v>
      </c>
      <c r="D152" s="172">
        <v>2064300</v>
      </c>
      <c r="E152" s="218"/>
      <c r="F152" s="173">
        <f t="shared" si="2"/>
        <v>2064.3000000000002</v>
      </c>
      <c r="G152" s="194">
        <v>2064.3000000000002</v>
      </c>
    </row>
    <row r="153" spans="1:7" ht="78.75">
      <c r="A153" s="174" t="s">
        <v>1338</v>
      </c>
      <c r="B153" s="175" t="s">
        <v>1668</v>
      </c>
      <c r="C153" s="172">
        <v>93600</v>
      </c>
      <c r="D153" s="172">
        <v>93600</v>
      </c>
      <c r="E153" s="218"/>
      <c r="F153" s="173">
        <f t="shared" si="2"/>
        <v>93.6</v>
      </c>
      <c r="G153" s="194">
        <v>93.6</v>
      </c>
    </row>
    <row r="154" spans="1:7" ht="47.25">
      <c r="A154" s="174" t="s">
        <v>1669</v>
      </c>
      <c r="B154" s="175" t="s">
        <v>1670</v>
      </c>
      <c r="C154" s="172">
        <v>180355200</v>
      </c>
      <c r="D154" s="172">
        <v>180355200</v>
      </c>
      <c r="E154" s="218"/>
      <c r="F154" s="173">
        <f t="shared" si="2"/>
        <v>180355.20000000001</v>
      </c>
      <c r="G154" s="194">
        <v>180355.20000000001</v>
      </c>
    </row>
    <row r="155" spans="1:7" ht="53.25" customHeight="1">
      <c r="A155" s="174" t="s">
        <v>1671</v>
      </c>
      <c r="B155" s="175" t="s">
        <v>1672</v>
      </c>
      <c r="C155" s="172">
        <v>752733358.91999996</v>
      </c>
      <c r="D155" s="172">
        <v>752733358.91999996</v>
      </c>
      <c r="E155" s="218"/>
      <c r="F155" s="173">
        <f t="shared" si="2"/>
        <v>752733.36</v>
      </c>
      <c r="G155" s="194">
        <f>SUM(G156:G177)</f>
        <v>752733.4</v>
      </c>
    </row>
    <row r="156" spans="1:7" ht="47.25">
      <c r="A156" s="174" t="s">
        <v>1370</v>
      </c>
      <c r="B156" s="175" t="s">
        <v>1673</v>
      </c>
      <c r="C156" s="172">
        <v>228490000</v>
      </c>
      <c r="D156" s="172">
        <v>228490000</v>
      </c>
      <c r="E156" s="218"/>
      <c r="F156" s="173">
        <f t="shared" si="2"/>
        <v>228490</v>
      </c>
      <c r="G156" s="194">
        <v>228490</v>
      </c>
    </row>
    <row r="157" spans="1:7" ht="47.25">
      <c r="A157" s="174" t="s">
        <v>1413</v>
      </c>
      <c r="B157" s="175" t="s">
        <v>1674</v>
      </c>
      <c r="C157" s="172">
        <v>18962000</v>
      </c>
      <c r="D157" s="172">
        <v>18962000</v>
      </c>
      <c r="E157" s="218"/>
      <c r="F157" s="173">
        <f t="shared" si="2"/>
        <v>18962</v>
      </c>
      <c r="G157" s="194">
        <v>18962</v>
      </c>
    </row>
    <row r="158" spans="1:7" ht="63">
      <c r="A158" s="174" t="s">
        <v>1372</v>
      </c>
      <c r="B158" s="175" t="s">
        <v>1675</v>
      </c>
      <c r="C158" s="172">
        <v>7350958.9199999999</v>
      </c>
      <c r="D158" s="172">
        <v>7350958.9199999999</v>
      </c>
      <c r="E158" s="218"/>
      <c r="F158" s="173">
        <f t="shared" si="2"/>
        <v>7350.96</v>
      </c>
      <c r="G158" s="194">
        <v>7351</v>
      </c>
    </row>
    <row r="159" spans="1:7" ht="47.25">
      <c r="A159" s="174" t="s">
        <v>1449</v>
      </c>
      <c r="B159" s="175" t="s">
        <v>1676</v>
      </c>
      <c r="C159" s="172">
        <v>139200</v>
      </c>
      <c r="D159" s="172">
        <v>139200</v>
      </c>
      <c r="E159" s="218"/>
      <c r="F159" s="173">
        <f t="shared" si="2"/>
        <v>139.19999999999999</v>
      </c>
      <c r="G159" s="194">
        <v>139.19999999999999</v>
      </c>
    </row>
    <row r="160" spans="1:7" ht="31.5">
      <c r="A160" s="174" t="s">
        <v>1451</v>
      </c>
      <c r="B160" s="175" t="s">
        <v>1677</v>
      </c>
      <c r="C160" s="172">
        <v>158200</v>
      </c>
      <c r="D160" s="172">
        <v>158200</v>
      </c>
      <c r="E160" s="218"/>
      <c r="F160" s="173">
        <f t="shared" si="2"/>
        <v>158.19999999999999</v>
      </c>
      <c r="G160" s="194">
        <v>158.19999999999999</v>
      </c>
    </row>
    <row r="161" spans="1:7" ht="63">
      <c r="A161" s="174" t="s">
        <v>1270</v>
      </c>
      <c r="B161" s="175" t="s">
        <v>1678</v>
      </c>
      <c r="C161" s="172">
        <v>50100</v>
      </c>
      <c r="D161" s="172">
        <v>50100</v>
      </c>
      <c r="E161" s="218"/>
      <c r="F161" s="173">
        <f t="shared" si="2"/>
        <v>50.1</v>
      </c>
      <c r="G161" s="194">
        <v>50.1</v>
      </c>
    </row>
    <row r="162" spans="1:7" ht="63">
      <c r="A162" s="174" t="s">
        <v>1374</v>
      </c>
      <c r="B162" s="175" t="s">
        <v>1679</v>
      </c>
      <c r="C162" s="172">
        <v>58000</v>
      </c>
      <c r="D162" s="172">
        <v>58000</v>
      </c>
      <c r="E162" s="218"/>
      <c r="F162" s="173">
        <f t="shared" si="2"/>
        <v>58</v>
      </c>
      <c r="G162" s="194">
        <v>58</v>
      </c>
    </row>
    <row r="163" spans="1:7" ht="63">
      <c r="A163" s="174" t="s">
        <v>1376</v>
      </c>
      <c r="B163" s="175" t="s">
        <v>1680</v>
      </c>
      <c r="C163" s="172">
        <v>118800</v>
      </c>
      <c r="D163" s="172">
        <v>118800</v>
      </c>
      <c r="E163" s="218"/>
      <c r="F163" s="173">
        <f t="shared" si="2"/>
        <v>118.8</v>
      </c>
      <c r="G163" s="194">
        <v>118.8</v>
      </c>
    </row>
    <row r="164" spans="1:7" ht="47.25">
      <c r="A164" s="174" t="s">
        <v>1348</v>
      </c>
      <c r="B164" s="175" t="s">
        <v>1681</v>
      </c>
      <c r="C164" s="172">
        <v>5409700</v>
      </c>
      <c r="D164" s="172">
        <v>5409700</v>
      </c>
      <c r="E164" s="218"/>
      <c r="F164" s="173">
        <f t="shared" si="2"/>
        <v>5409.7</v>
      </c>
      <c r="G164" s="194">
        <v>5409.7</v>
      </c>
    </row>
    <row r="165" spans="1:7" ht="47.25">
      <c r="A165" s="174" t="s">
        <v>1430</v>
      </c>
      <c r="B165" s="175" t="s">
        <v>1682</v>
      </c>
      <c r="C165" s="172">
        <v>246490100</v>
      </c>
      <c r="D165" s="172">
        <v>246490100</v>
      </c>
      <c r="E165" s="218"/>
      <c r="F165" s="173">
        <f t="shared" si="2"/>
        <v>246490.1</v>
      </c>
      <c r="G165" s="194">
        <v>246490.1</v>
      </c>
    </row>
    <row r="166" spans="1:7" ht="47.25">
      <c r="A166" s="174" t="s">
        <v>1432</v>
      </c>
      <c r="B166" s="175" t="s">
        <v>1683</v>
      </c>
      <c r="C166" s="172">
        <v>7457600</v>
      </c>
      <c r="D166" s="172">
        <v>7457600</v>
      </c>
      <c r="E166" s="218"/>
      <c r="F166" s="173">
        <f t="shared" si="2"/>
        <v>7457.6</v>
      </c>
      <c r="G166" s="194">
        <v>7457.6</v>
      </c>
    </row>
    <row r="167" spans="1:7" ht="63">
      <c r="A167" s="174" t="s">
        <v>1272</v>
      </c>
      <c r="B167" s="175" t="s">
        <v>1684</v>
      </c>
      <c r="C167" s="172">
        <v>6913800</v>
      </c>
      <c r="D167" s="172">
        <v>6913800</v>
      </c>
      <c r="E167" s="218"/>
      <c r="F167" s="173">
        <f t="shared" si="2"/>
        <v>6913.8</v>
      </c>
      <c r="G167" s="194">
        <v>6913.8</v>
      </c>
    </row>
    <row r="168" spans="1:7" ht="63">
      <c r="A168" s="174" t="s">
        <v>1442</v>
      </c>
      <c r="B168" s="175" t="s">
        <v>1685</v>
      </c>
      <c r="C168" s="172">
        <v>105969000</v>
      </c>
      <c r="D168" s="172">
        <v>105969000</v>
      </c>
      <c r="E168" s="218"/>
      <c r="F168" s="173">
        <f t="shared" si="2"/>
        <v>105969</v>
      </c>
      <c r="G168" s="194">
        <v>105969</v>
      </c>
    </row>
    <row r="169" spans="1:7" ht="63">
      <c r="A169" s="174" t="s">
        <v>1453</v>
      </c>
      <c r="B169" s="175" t="s">
        <v>1686</v>
      </c>
      <c r="C169" s="172">
        <v>72400</v>
      </c>
      <c r="D169" s="172">
        <v>72400</v>
      </c>
      <c r="E169" s="218"/>
      <c r="F169" s="173">
        <f t="shared" si="2"/>
        <v>72.400000000000006</v>
      </c>
      <c r="G169" s="194">
        <v>72.400000000000006</v>
      </c>
    </row>
    <row r="170" spans="1:7" ht="94.5">
      <c r="A170" s="174" t="s">
        <v>1455</v>
      </c>
      <c r="B170" s="175" t="s">
        <v>1687</v>
      </c>
      <c r="C170" s="172">
        <v>6161900</v>
      </c>
      <c r="D170" s="172">
        <v>6161900</v>
      </c>
      <c r="E170" s="218"/>
      <c r="F170" s="173">
        <f t="shared" si="2"/>
        <v>6161.9</v>
      </c>
      <c r="G170" s="194">
        <v>6161.9</v>
      </c>
    </row>
    <row r="171" spans="1:7" ht="94.5">
      <c r="A171" s="174" t="s">
        <v>1688</v>
      </c>
      <c r="B171" s="175" t="s">
        <v>1689</v>
      </c>
      <c r="C171" s="172">
        <v>7799700</v>
      </c>
      <c r="D171" s="172">
        <v>7799700</v>
      </c>
      <c r="E171" s="218"/>
      <c r="F171" s="173">
        <f t="shared" si="2"/>
        <v>7799.7</v>
      </c>
      <c r="G171" s="194">
        <v>7799.7</v>
      </c>
    </row>
    <row r="172" spans="1:7" ht="47.25">
      <c r="A172" s="174" t="s">
        <v>1690</v>
      </c>
      <c r="B172" s="175" t="s">
        <v>1691</v>
      </c>
      <c r="C172" s="172">
        <v>2605200</v>
      </c>
      <c r="D172" s="172">
        <v>2605200</v>
      </c>
      <c r="E172" s="218"/>
      <c r="F172" s="173">
        <f t="shared" si="2"/>
        <v>2605.1999999999998</v>
      </c>
      <c r="G172" s="194">
        <v>2605.1999999999998</v>
      </c>
    </row>
    <row r="173" spans="1:7" ht="94.5">
      <c r="A173" s="174" t="s">
        <v>1274</v>
      </c>
      <c r="B173" s="175" t="s">
        <v>1692</v>
      </c>
      <c r="C173" s="172">
        <v>4778200</v>
      </c>
      <c r="D173" s="172">
        <v>4778200</v>
      </c>
      <c r="E173" s="218"/>
      <c r="F173" s="173">
        <f t="shared" si="2"/>
        <v>4778.2</v>
      </c>
      <c r="G173" s="194">
        <v>4778.2</v>
      </c>
    </row>
    <row r="174" spans="1:7" ht="94.5">
      <c r="A174" s="174" t="s">
        <v>1693</v>
      </c>
      <c r="B174" s="175" t="s">
        <v>1694</v>
      </c>
      <c r="C174" s="172">
        <v>54217200</v>
      </c>
      <c r="D174" s="172">
        <v>54217200</v>
      </c>
      <c r="E174" s="218"/>
      <c r="F174" s="173">
        <f t="shared" si="2"/>
        <v>54217.2</v>
      </c>
      <c r="G174" s="194">
        <v>54217.2</v>
      </c>
    </row>
    <row r="175" spans="1:7" ht="110.25">
      <c r="A175" s="174" t="s">
        <v>1380</v>
      </c>
      <c r="B175" s="175" t="s">
        <v>1695</v>
      </c>
      <c r="C175" s="172">
        <v>36954700</v>
      </c>
      <c r="D175" s="172">
        <v>36954700</v>
      </c>
      <c r="E175" s="218"/>
      <c r="F175" s="173">
        <f t="shared" si="2"/>
        <v>36954.699999999997</v>
      </c>
      <c r="G175" s="194">
        <v>36954.699999999997</v>
      </c>
    </row>
    <row r="176" spans="1:7" ht="94.5">
      <c r="A176" s="174" t="s">
        <v>1696</v>
      </c>
      <c r="B176" s="175" t="s">
        <v>1697</v>
      </c>
      <c r="C176" s="172">
        <v>10460100</v>
      </c>
      <c r="D176" s="172">
        <v>10460100</v>
      </c>
      <c r="E176" s="218"/>
      <c r="F176" s="173">
        <f t="shared" si="2"/>
        <v>10460.1</v>
      </c>
      <c r="G176" s="194">
        <v>10460.1</v>
      </c>
    </row>
    <row r="177" spans="1:7" ht="63">
      <c r="A177" s="174" t="s">
        <v>1246</v>
      </c>
      <c r="B177" s="175" t="s">
        <v>1698</v>
      </c>
      <c r="C177" s="172">
        <v>2116500</v>
      </c>
      <c r="D177" s="172">
        <v>2116500</v>
      </c>
      <c r="E177" s="218"/>
      <c r="F177" s="173">
        <f t="shared" si="2"/>
        <v>2116.5</v>
      </c>
      <c r="G177" s="194">
        <v>2116.5</v>
      </c>
    </row>
    <row r="178" spans="1:7" ht="15.75">
      <c r="A178" s="174" t="s">
        <v>1699</v>
      </c>
      <c r="B178" s="175" t="s">
        <v>1700</v>
      </c>
      <c r="C178" s="172">
        <v>54186956.939999998</v>
      </c>
      <c r="D178" s="172">
        <v>54178112.590000004</v>
      </c>
      <c r="E178" s="218"/>
      <c r="F178" s="173">
        <f t="shared" si="2"/>
        <v>54178.11</v>
      </c>
      <c r="G178" s="194">
        <f>SUM(G179:G190)</f>
        <v>54178.1</v>
      </c>
    </row>
    <row r="179" spans="1:7" ht="47.25">
      <c r="A179" s="174" t="s">
        <v>1415</v>
      </c>
      <c r="B179" s="175" t="s">
        <v>1701</v>
      </c>
      <c r="C179" s="172">
        <v>1639918.94</v>
      </c>
      <c r="D179" s="172">
        <v>1635636.54</v>
      </c>
      <c r="E179" s="218"/>
      <c r="F179" s="173">
        <f t="shared" si="2"/>
        <v>1635.64</v>
      </c>
      <c r="G179" s="194">
        <v>1635.6</v>
      </c>
    </row>
    <row r="180" spans="1:7" ht="47.25">
      <c r="A180" s="174" t="s">
        <v>1417</v>
      </c>
      <c r="B180" s="175" t="s">
        <v>1702</v>
      </c>
      <c r="C180" s="172">
        <v>2279239</v>
      </c>
      <c r="D180" s="172">
        <v>2274677.0499999998</v>
      </c>
      <c r="E180" s="218"/>
      <c r="F180" s="173">
        <f t="shared" si="2"/>
        <v>2274.6799999999998</v>
      </c>
      <c r="G180" s="194">
        <v>2274.6999999999998</v>
      </c>
    </row>
    <row r="181" spans="1:7" ht="63">
      <c r="A181" s="174" t="s">
        <v>1230</v>
      </c>
      <c r="B181" s="175" t="s">
        <v>1703</v>
      </c>
      <c r="C181" s="172">
        <v>26108600</v>
      </c>
      <c r="D181" s="172">
        <v>26108600</v>
      </c>
      <c r="E181" s="218"/>
      <c r="F181" s="173">
        <f t="shared" si="2"/>
        <v>26108.6</v>
      </c>
      <c r="G181" s="194">
        <v>26108.6</v>
      </c>
    </row>
    <row r="182" spans="1:7" ht="78.75">
      <c r="A182" s="174" t="s">
        <v>1248</v>
      </c>
      <c r="B182" s="175" t="s">
        <v>1704</v>
      </c>
      <c r="C182" s="172">
        <v>506000</v>
      </c>
      <c r="D182" s="172">
        <v>506000</v>
      </c>
      <c r="E182" s="218"/>
      <c r="F182" s="173">
        <f t="shared" si="2"/>
        <v>506</v>
      </c>
      <c r="G182" s="194">
        <v>506</v>
      </c>
    </row>
    <row r="183" spans="1:7" ht="94.5">
      <c r="A183" s="174" t="s">
        <v>1250</v>
      </c>
      <c r="B183" s="175" t="s">
        <v>1705</v>
      </c>
      <c r="C183" s="172">
        <v>289000</v>
      </c>
      <c r="D183" s="172">
        <v>289000</v>
      </c>
      <c r="E183" s="218"/>
      <c r="F183" s="173">
        <f t="shared" si="2"/>
        <v>289</v>
      </c>
      <c r="G183" s="194">
        <v>289</v>
      </c>
    </row>
    <row r="184" spans="1:7" ht="126">
      <c r="A184" s="174" t="s">
        <v>1706</v>
      </c>
      <c r="B184" s="175" t="s">
        <v>1707</v>
      </c>
      <c r="C184" s="172">
        <v>400000</v>
      </c>
      <c r="D184" s="172">
        <v>400000</v>
      </c>
      <c r="E184" s="218"/>
      <c r="F184" s="173">
        <f t="shared" si="2"/>
        <v>400</v>
      </c>
      <c r="G184" s="194">
        <v>400</v>
      </c>
    </row>
    <row r="185" spans="1:7" ht="47.25">
      <c r="A185" s="174" t="s">
        <v>1232</v>
      </c>
      <c r="B185" s="175" t="s">
        <v>1708</v>
      </c>
      <c r="C185" s="172">
        <v>5500000</v>
      </c>
      <c r="D185" s="172">
        <v>5500000</v>
      </c>
      <c r="E185" s="218"/>
      <c r="F185" s="173">
        <f t="shared" si="2"/>
        <v>5500</v>
      </c>
      <c r="G185" s="194">
        <v>5500</v>
      </c>
    </row>
    <row r="186" spans="1:7" ht="63">
      <c r="A186" s="174" t="s">
        <v>1252</v>
      </c>
      <c r="B186" s="175" t="s">
        <v>1709</v>
      </c>
      <c r="C186" s="172">
        <v>500000</v>
      </c>
      <c r="D186" s="172">
        <v>500000</v>
      </c>
      <c r="E186" s="218"/>
      <c r="F186" s="173">
        <f t="shared" si="2"/>
        <v>500</v>
      </c>
      <c r="G186" s="194">
        <v>500</v>
      </c>
    </row>
    <row r="187" spans="1:7" ht="63">
      <c r="A187" s="174" t="s">
        <v>1254</v>
      </c>
      <c r="B187" s="175" t="s">
        <v>1710</v>
      </c>
      <c r="C187" s="172">
        <v>300000</v>
      </c>
      <c r="D187" s="172">
        <v>300000</v>
      </c>
      <c r="E187" s="218"/>
      <c r="F187" s="173">
        <f t="shared" si="2"/>
        <v>300</v>
      </c>
      <c r="G187" s="194">
        <v>300</v>
      </c>
    </row>
    <row r="188" spans="1:7" ht="78.75">
      <c r="A188" s="174" t="s">
        <v>1234</v>
      </c>
      <c r="B188" s="175" t="s">
        <v>1711</v>
      </c>
      <c r="C188" s="172">
        <v>7094000</v>
      </c>
      <c r="D188" s="172">
        <v>7094000</v>
      </c>
      <c r="E188" s="218"/>
      <c r="F188" s="173">
        <f t="shared" si="2"/>
        <v>7094</v>
      </c>
      <c r="G188" s="194">
        <v>7094</v>
      </c>
    </row>
    <row r="189" spans="1:7" ht="157.5">
      <c r="A189" s="174" t="s">
        <v>1236</v>
      </c>
      <c r="B189" s="175" t="s">
        <v>1712</v>
      </c>
      <c r="C189" s="172">
        <v>9307600</v>
      </c>
      <c r="D189" s="172">
        <v>9307600</v>
      </c>
      <c r="E189" s="218"/>
      <c r="F189" s="173">
        <f t="shared" si="2"/>
        <v>9307.6</v>
      </c>
      <c r="G189" s="194">
        <v>9307.6</v>
      </c>
    </row>
    <row r="190" spans="1:7" ht="31.5">
      <c r="A190" s="174" t="s">
        <v>1384</v>
      </c>
      <c r="B190" s="175" t="s">
        <v>1713</v>
      </c>
      <c r="C190" s="172">
        <v>262599</v>
      </c>
      <c r="D190" s="172">
        <v>262599</v>
      </c>
      <c r="E190" s="218"/>
      <c r="F190" s="173">
        <f t="shared" si="2"/>
        <v>262.60000000000002</v>
      </c>
      <c r="G190" s="194">
        <v>262.60000000000002</v>
      </c>
    </row>
    <row r="191" spans="1:7" ht="47.25">
      <c r="A191" s="174" t="s">
        <v>1714</v>
      </c>
      <c r="B191" s="175" t="s">
        <v>1715</v>
      </c>
      <c r="C191" s="172">
        <v>361795750</v>
      </c>
      <c r="D191" s="172">
        <v>360934235.97000003</v>
      </c>
      <c r="E191" s="218"/>
      <c r="F191" s="173">
        <f t="shared" si="2"/>
        <v>360934.24</v>
      </c>
      <c r="G191" s="194">
        <f>G192</f>
        <v>360934.2</v>
      </c>
    </row>
    <row r="192" spans="1:7" ht="47.25">
      <c r="A192" s="174" t="s">
        <v>1716</v>
      </c>
      <c r="B192" s="175" t="s">
        <v>1717</v>
      </c>
      <c r="C192" s="172">
        <v>361795750</v>
      </c>
      <c r="D192" s="172">
        <v>360934235.97000003</v>
      </c>
      <c r="E192" s="218"/>
      <c r="F192" s="173">
        <f t="shared" si="2"/>
        <v>360934.24</v>
      </c>
      <c r="G192" s="194">
        <f>SUM(G193:G195)</f>
        <v>360934.2</v>
      </c>
    </row>
    <row r="193" spans="1:7" ht="47.25">
      <c r="A193" s="174" t="s">
        <v>1718</v>
      </c>
      <c r="B193" s="175" t="s">
        <v>1719</v>
      </c>
      <c r="C193" s="172">
        <v>27397377</v>
      </c>
      <c r="D193" s="172">
        <v>27397377</v>
      </c>
      <c r="E193" s="218"/>
      <c r="F193" s="173">
        <f t="shared" si="2"/>
        <v>27397.38</v>
      </c>
      <c r="G193" s="194">
        <v>27397.4</v>
      </c>
    </row>
    <row r="194" spans="1:7" ht="78.75">
      <c r="A194" s="174" t="s">
        <v>1720</v>
      </c>
      <c r="B194" s="175" t="s">
        <v>1721</v>
      </c>
      <c r="C194" s="172">
        <v>24212521</v>
      </c>
      <c r="D194" s="172">
        <v>24212521</v>
      </c>
      <c r="E194" s="218"/>
      <c r="F194" s="173">
        <f t="shared" si="2"/>
        <v>24212.52</v>
      </c>
      <c r="G194" s="194">
        <v>24212.5</v>
      </c>
    </row>
    <row r="195" spans="1:7" ht="78.75">
      <c r="A195" s="174" t="s">
        <v>1722</v>
      </c>
      <c r="B195" s="175" t="s">
        <v>1723</v>
      </c>
      <c r="C195" s="172">
        <v>310185852</v>
      </c>
      <c r="D195" s="172">
        <v>309324337.97000003</v>
      </c>
      <c r="E195" s="218"/>
      <c r="F195" s="173">
        <f t="shared" si="2"/>
        <v>309324.34000000003</v>
      </c>
      <c r="G195" s="194">
        <v>309324.3</v>
      </c>
    </row>
    <row r="196" spans="1:7" ht="15.75">
      <c r="A196" s="174" t="s">
        <v>1724</v>
      </c>
      <c r="B196" s="175" t="s">
        <v>1725</v>
      </c>
      <c r="C196" s="172">
        <v>5119000</v>
      </c>
      <c r="D196" s="172">
        <v>7611951</v>
      </c>
      <c r="E196" s="218"/>
      <c r="F196" s="173">
        <f t="shared" si="2"/>
        <v>7611.95</v>
      </c>
      <c r="G196" s="194">
        <f>SUM(G197:G198)</f>
        <v>7612</v>
      </c>
    </row>
    <row r="197" spans="1:7" ht="47.25">
      <c r="A197" s="174" t="s">
        <v>1278</v>
      </c>
      <c r="B197" s="175" t="s">
        <v>1726</v>
      </c>
      <c r="C197" s="172">
        <v>0</v>
      </c>
      <c r="D197" s="172">
        <v>1000</v>
      </c>
      <c r="E197" s="218"/>
      <c r="F197" s="173">
        <f t="shared" si="2"/>
        <v>1</v>
      </c>
      <c r="G197" s="194">
        <v>1</v>
      </c>
    </row>
    <row r="198" spans="1:7" ht="31.5">
      <c r="A198" s="174" t="s">
        <v>1280</v>
      </c>
      <c r="B198" s="175" t="s">
        <v>1727</v>
      </c>
      <c r="C198" s="172">
        <v>5119000</v>
      </c>
      <c r="D198" s="172">
        <v>7610951</v>
      </c>
      <c r="E198" s="218"/>
      <c r="F198" s="173">
        <f t="shared" si="2"/>
        <v>7610.95</v>
      </c>
      <c r="G198" s="194">
        <v>7611</v>
      </c>
    </row>
    <row r="199" spans="1:7" ht="110.25">
      <c r="A199" s="174" t="s">
        <v>1728</v>
      </c>
      <c r="B199" s="175" t="s">
        <v>1729</v>
      </c>
      <c r="C199" s="172">
        <v>45757254.049999997</v>
      </c>
      <c r="D199" s="172">
        <v>45757254.049999997</v>
      </c>
      <c r="E199" s="218"/>
      <c r="F199" s="173">
        <f t="shared" si="2"/>
        <v>45757.25</v>
      </c>
      <c r="G199" s="194">
        <f>G200+G201</f>
        <v>45757.2</v>
      </c>
    </row>
    <row r="200" spans="1:7" ht="78.75">
      <c r="A200" s="174" t="s">
        <v>1730</v>
      </c>
      <c r="B200" s="175" t="s">
        <v>1731</v>
      </c>
      <c r="C200" s="172">
        <v>41554802.990000002</v>
      </c>
      <c r="D200" s="172">
        <v>41554802.990000002</v>
      </c>
      <c r="E200" s="218"/>
      <c r="F200" s="173">
        <f t="shared" si="2"/>
        <v>41554.800000000003</v>
      </c>
      <c r="G200" s="194">
        <f>G204+G206+G207</f>
        <v>41554.800000000003</v>
      </c>
    </row>
    <row r="201" spans="1:7" ht="31.5">
      <c r="A201" s="174" t="s">
        <v>1732</v>
      </c>
      <c r="B201" s="175" t="s">
        <v>1733</v>
      </c>
      <c r="C201" s="172">
        <v>4202451.0599999996</v>
      </c>
      <c r="D201" s="172">
        <v>4202451.0599999996</v>
      </c>
      <c r="E201" s="218"/>
      <c r="F201" s="173">
        <f t="shared" si="2"/>
        <v>4202.45</v>
      </c>
      <c r="G201" s="194">
        <f>G202+G203+G205</f>
        <v>4202.3999999999996</v>
      </c>
    </row>
    <row r="202" spans="1:7" ht="47.25">
      <c r="A202" s="174" t="s">
        <v>1238</v>
      </c>
      <c r="B202" s="175" t="s">
        <v>1734</v>
      </c>
      <c r="C202" s="172">
        <v>2277245.2999999998</v>
      </c>
      <c r="D202" s="172">
        <v>2277245.2999999998</v>
      </c>
      <c r="E202" s="218"/>
      <c r="F202" s="173">
        <f t="shared" si="2"/>
        <v>2277.25</v>
      </c>
      <c r="G202" s="194">
        <v>2277.1999999999998</v>
      </c>
    </row>
    <row r="203" spans="1:7" ht="47.25">
      <c r="A203" s="174" t="s">
        <v>1282</v>
      </c>
      <c r="B203" s="175" t="s">
        <v>1735</v>
      </c>
      <c r="C203" s="172">
        <v>3300</v>
      </c>
      <c r="D203" s="172">
        <v>3300</v>
      </c>
      <c r="E203" s="218"/>
      <c r="F203" s="173">
        <f t="shared" ref="F203:F211" si="3">D203/1000</f>
        <v>3.3</v>
      </c>
      <c r="G203" s="194">
        <v>3.3</v>
      </c>
    </row>
    <row r="204" spans="1:7" ht="63">
      <c r="A204" s="174" t="s">
        <v>1240</v>
      </c>
      <c r="B204" s="175" t="s">
        <v>1736</v>
      </c>
      <c r="C204" s="172">
        <v>15423818.210000001</v>
      </c>
      <c r="D204" s="172">
        <v>15423818.210000001</v>
      </c>
      <c r="E204" s="218"/>
      <c r="F204" s="173">
        <f t="shared" si="3"/>
        <v>15423.82</v>
      </c>
      <c r="G204" s="194">
        <v>15423.8</v>
      </c>
    </row>
    <row r="205" spans="1:7" ht="47.25">
      <c r="A205" s="174" t="s">
        <v>1340</v>
      </c>
      <c r="B205" s="175" t="s">
        <v>1737</v>
      </c>
      <c r="C205" s="172">
        <v>1921905.76</v>
      </c>
      <c r="D205" s="172">
        <v>1921905.76</v>
      </c>
      <c r="E205" s="218"/>
      <c r="F205" s="173">
        <f t="shared" si="3"/>
        <v>1921.91</v>
      </c>
      <c r="G205" s="194">
        <v>1921.9</v>
      </c>
    </row>
    <row r="206" spans="1:7" ht="63">
      <c r="A206" s="174" t="s">
        <v>1738</v>
      </c>
      <c r="B206" s="175" t="s">
        <v>1739</v>
      </c>
      <c r="C206" s="172">
        <v>22023484.41</v>
      </c>
      <c r="D206" s="172">
        <v>22023484.41</v>
      </c>
      <c r="E206" s="218"/>
      <c r="F206" s="173">
        <f t="shared" si="3"/>
        <v>22023.48</v>
      </c>
      <c r="G206" s="194">
        <v>22023.5</v>
      </c>
    </row>
    <row r="207" spans="1:7" ht="78.75">
      <c r="A207" s="174" t="s">
        <v>1242</v>
      </c>
      <c r="B207" s="175" t="s">
        <v>1740</v>
      </c>
      <c r="C207" s="172">
        <v>4107500.37</v>
      </c>
      <c r="D207" s="172">
        <v>4107500.37</v>
      </c>
      <c r="E207" s="218"/>
      <c r="F207" s="173">
        <f t="shared" si="3"/>
        <v>4107.5</v>
      </c>
      <c r="G207" s="194">
        <v>4107.5</v>
      </c>
    </row>
    <row r="208" spans="1:7" ht="47.25">
      <c r="A208" s="174" t="s">
        <v>1741</v>
      </c>
      <c r="B208" s="175" t="s">
        <v>1742</v>
      </c>
      <c r="C208" s="172">
        <v>-186656290.06999999</v>
      </c>
      <c r="D208" s="172">
        <v>-186142865.06999999</v>
      </c>
      <c r="E208" s="218"/>
      <c r="F208" s="173">
        <f t="shared" si="3"/>
        <v>-186142.87</v>
      </c>
      <c r="G208" s="194">
        <f>G209</f>
        <v>-186142.9</v>
      </c>
    </row>
    <row r="209" spans="1:7" ht="47.25">
      <c r="A209" s="174" t="s">
        <v>1244</v>
      </c>
      <c r="B209" s="175" t="s">
        <v>1743</v>
      </c>
      <c r="C209" s="172">
        <v>-186656290.06999999</v>
      </c>
      <c r="D209" s="172">
        <v>-186142865.06999999</v>
      </c>
      <c r="E209" s="218"/>
      <c r="F209" s="173">
        <f t="shared" si="3"/>
        <v>-186142.87</v>
      </c>
      <c r="G209" s="194">
        <v>-186142.9</v>
      </c>
    </row>
    <row r="210" spans="1:7" ht="15.75">
      <c r="F210" s="171">
        <f t="shared" si="3"/>
        <v>0</v>
      </c>
    </row>
    <row r="211" spans="1:7" ht="15.75">
      <c r="F211" s="171">
        <f t="shared" si="3"/>
        <v>0</v>
      </c>
    </row>
  </sheetData>
  <mergeCells count="4">
    <mergeCell ref="B1:F1"/>
    <mergeCell ref="B2:G2"/>
    <mergeCell ref="A4:G4"/>
    <mergeCell ref="A6:D6"/>
  </mergeCells>
  <pageMargins left="0.70866141732283472" right="0.70866141732283472" top="0.55118110236220474" bottom="0.55118110236220474" header="0.31496062992125984" footer="0.31496062992125984"/>
  <pageSetup paperSize="9" scale="79" firstPageNumber="67" fitToHeight="44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2"/>
  <sheetViews>
    <sheetView workbookViewId="0">
      <selection activeCell="A4" sqref="A4:G4"/>
    </sheetView>
  </sheetViews>
  <sheetFormatPr defaultRowHeight="18.75"/>
  <cols>
    <col min="1" max="1" width="54.5703125" style="160" customWidth="1"/>
    <col min="2" max="2" width="10.140625" style="161" customWidth="1"/>
    <col min="3" max="3" width="25" style="115" customWidth="1"/>
    <col min="4" max="4" width="23.28515625" style="115" hidden="1" customWidth="1"/>
    <col min="5" max="5" width="22.28515625" style="162" hidden="1" customWidth="1"/>
    <col min="6" max="6" width="18.42578125" style="115" hidden="1" customWidth="1"/>
    <col min="7" max="7" width="20" style="115" customWidth="1"/>
    <col min="8" max="8" width="17.140625" style="115" customWidth="1"/>
    <col min="9" max="16384" width="9.140625" style="115"/>
  </cols>
  <sheetData>
    <row r="1" spans="1:13">
      <c r="A1" s="177"/>
      <c r="B1" s="178"/>
      <c r="C1" s="379" t="s">
        <v>1746</v>
      </c>
      <c r="D1" s="379"/>
      <c r="E1" s="379"/>
      <c r="F1" s="379"/>
      <c r="G1" s="379"/>
    </row>
    <row r="2" spans="1:13" ht="51.75" customHeight="1">
      <c r="A2" s="177"/>
      <c r="B2" s="178"/>
      <c r="C2" s="379" t="s">
        <v>1745</v>
      </c>
      <c r="D2" s="379"/>
      <c r="E2" s="379"/>
      <c r="F2" s="379"/>
      <c r="G2" s="379"/>
    </row>
    <row r="3" spans="1:13">
      <c r="A3" s="177"/>
      <c r="B3" s="178"/>
      <c r="C3" s="179"/>
      <c r="D3" s="180"/>
    </row>
    <row r="4" spans="1:13" ht="49.5" customHeight="1">
      <c r="A4" s="386" t="s">
        <v>1747</v>
      </c>
      <c r="B4" s="386"/>
      <c r="C4" s="386"/>
      <c r="D4" s="386"/>
      <c r="E4" s="386"/>
      <c r="F4" s="386"/>
      <c r="G4" s="386"/>
      <c r="H4" s="181"/>
    </row>
    <row r="5" spans="1:13">
      <c r="A5" s="117"/>
      <c r="B5" s="117"/>
      <c r="C5" s="117"/>
      <c r="D5" s="117"/>
      <c r="E5" s="115"/>
      <c r="F5" s="117"/>
      <c r="G5" s="118"/>
    </row>
    <row r="6" spans="1:13" ht="19.5" thickBot="1">
      <c r="A6" s="119"/>
      <c r="B6" s="120"/>
      <c r="C6" s="121"/>
      <c r="D6" s="122"/>
      <c r="E6" s="122"/>
      <c r="G6" s="196" t="s">
        <v>752</v>
      </c>
    </row>
    <row r="7" spans="1:13">
      <c r="A7" s="387" t="s">
        <v>0</v>
      </c>
      <c r="B7" s="389" t="s">
        <v>1749</v>
      </c>
      <c r="C7" s="389"/>
      <c r="D7" s="390" t="s">
        <v>1093</v>
      </c>
      <c r="E7" s="392" t="s">
        <v>1748</v>
      </c>
      <c r="F7" s="392" t="s">
        <v>1094</v>
      </c>
      <c r="G7" s="384" t="s">
        <v>1035</v>
      </c>
    </row>
    <row r="8" spans="1:13" ht="59.25" customHeight="1" thickBot="1">
      <c r="A8" s="388"/>
      <c r="B8" s="224" t="s">
        <v>1865</v>
      </c>
      <c r="C8" s="225" t="s">
        <v>1829</v>
      </c>
      <c r="D8" s="391"/>
      <c r="E8" s="393"/>
      <c r="F8" s="393"/>
      <c r="G8" s="385"/>
    </row>
    <row r="9" spans="1:13" ht="19.5" thickBot="1">
      <c r="A9" s="332">
        <v>1</v>
      </c>
      <c r="B9" s="333">
        <v>2</v>
      </c>
      <c r="C9" s="333">
        <v>3</v>
      </c>
      <c r="D9" s="334"/>
      <c r="E9" s="334">
        <v>4</v>
      </c>
      <c r="F9" s="335"/>
      <c r="G9" s="336">
        <v>4</v>
      </c>
      <c r="H9" s="122"/>
      <c r="I9" s="122"/>
      <c r="J9" s="122"/>
      <c r="K9" s="122"/>
      <c r="L9" s="122"/>
      <c r="M9" s="122"/>
    </row>
    <row r="10" spans="1:13" s="124" customFormat="1">
      <c r="A10" s="183" t="s">
        <v>1095</v>
      </c>
      <c r="B10" s="184"/>
      <c r="C10" s="185"/>
      <c r="D10" s="186">
        <f>D12+D15+D21+D23+D25+D31+D34+D36+D63+D65+D68+D87+D94+D115+D119+D151+D164+D177+D179+D183+D204+D209+D220+D226+D230+D232+D234+D237+D243+D258+D263+D266+D273+D280</f>
        <v>13938446100.84</v>
      </c>
      <c r="E10" s="186">
        <f>E12+E15+E21+E23+E25+E31+E34+E36+E63+E65+E68+E87+E94+E115+E119+E151+E164+E177+E179+E183+E204+E209+E220+E226+E230+E232+E234+E237+E243+E258+E263+E266+E273+E280</f>
        <v>13914174765.23</v>
      </c>
      <c r="F10" s="187">
        <f>F12+F15+F21+F23+F25+F31+F34+F36+F63+F65+F68+F87+F94+F115+F119+F151+F164+F177+F179+F183+F204+F209+F220+F226+F230+F232+F234+F237+F243+F258+F263+F266+F273+F280</f>
        <v>24273846.609999999</v>
      </c>
      <c r="G10" s="201">
        <f>G12+G15+G21+G23+G25+G31+G34+G36+G63+G65+G68+G87+G94+G115+G119+G151+G164+G177+G179+G183+G204+G209+G220+G226+G230+G232+G234+G237+G243+G258+G263+G266+G273+G280</f>
        <v>13914174.800000001</v>
      </c>
      <c r="H10" s="123"/>
      <c r="I10" s="123"/>
      <c r="J10" s="123"/>
      <c r="K10" s="123"/>
      <c r="L10" s="123"/>
      <c r="M10" s="123"/>
    </row>
    <row r="11" spans="1:13" s="132" customFormat="1">
      <c r="A11" s="125" t="s">
        <v>1097</v>
      </c>
      <c r="B11" s="126"/>
      <c r="C11" s="127"/>
      <c r="D11" s="128"/>
      <c r="E11" s="129"/>
      <c r="F11" s="165"/>
      <c r="G11" s="202">
        <f t="shared" ref="G11:G74" si="0">E11/1000</f>
        <v>0</v>
      </c>
      <c r="H11" s="131"/>
      <c r="I11" s="131"/>
      <c r="J11" s="131"/>
      <c r="K11" s="131"/>
      <c r="L11" s="131"/>
      <c r="M11" s="131"/>
    </row>
    <row r="12" spans="1:13" s="114" customFormat="1" ht="47.25">
      <c r="A12" s="133" t="s">
        <v>1098</v>
      </c>
      <c r="B12" s="126" t="s">
        <v>1099</v>
      </c>
      <c r="C12" s="134"/>
      <c r="D12" s="129">
        <f>SUM(D13:D14)</f>
        <v>3994000</v>
      </c>
      <c r="E12" s="129">
        <f>SUM(E13:E14)</f>
        <v>4129833.73</v>
      </c>
      <c r="F12" s="166">
        <f t="shared" ref="F12:G12" si="1">SUM(F13:F14)</f>
        <v>-135833.73000000001</v>
      </c>
      <c r="G12" s="203">
        <f t="shared" si="1"/>
        <v>4129.8</v>
      </c>
      <c r="H12" s="116"/>
      <c r="I12" s="116"/>
      <c r="J12" s="116"/>
      <c r="K12" s="116"/>
      <c r="L12" s="116"/>
      <c r="M12" s="116"/>
    </row>
    <row r="13" spans="1:13" ht="94.5">
      <c r="A13" s="135" t="s">
        <v>1100</v>
      </c>
      <c r="B13" s="136"/>
      <c r="C13" s="136" t="s">
        <v>1101</v>
      </c>
      <c r="D13" s="137">
        <v>2894000</v>
      </c>
      <c r="E13" s="137">
        <v>2822894.44</v>
      </c>
      <c r="F13" s="167">
        <f t="shared" ref="F13:F93" si="2">D13-E13</f>
        <v>71105.56</v>
      </c>
      <c r="G13" s="202">
        <f t="shared" si="0"/>
        <v>2822.9</v>
      </c>
      <c r="H13" s="122"/>
      <c r="I13" s="122"/>
      <c r="J13" s="122"/>
      <c r="K13" s="122"/>
      <c r="L13" s="122"/>
      <c r="M13" s="122"/>
    </row>
    <row r="14" spans="1:13" ht="63">
      <c r="A14" s="135" t="s">
        <v>1102</v>
      </c>
      <c r="B14" s="136"/>
      <c r="C14" s="136" t="s">
        <v>1103</v>
      </c>
      <c r="D14" s="137">
        <v>1100000</v>
      </c>
      <c r="E14" s="137">
        <v>1306939.29</v>
      </c>
      <c r="F14" s="167">
        <f t="shared" si="2"/>
        <v>-206939.29</v>
      </c>
      <c r="G14" s="202">
        <f t="shared" si="0"/>
        <v>1306.9000000000001</v>
      </c>
      <c r="H14" s="122"/>
      <c r="I14" s="122"/>
      <c r="J14" s="122"/>
      <c r="K14" s="122"/>
      <c r="L14" s="122"/>
      <c r="M14" s="122"/>
    </row>
    <row r="15" spans="1:13" s="114" customFormat="1" ht="47.25">
      <c r="A15" s="138" t="s">
        <v>1104</v>
      </c>
      <c r="B15" s="136" t="s">
        <v>1105</v>
      </c>
      <c r="C15" s="139"/>
      <c r="D15" s="137">
        <f>SUM(D16:D20)</f>
        <v>5238000</v>
      </c>
      <c r="E15" s="137">
        <f>SUM(E16:E20)</f>
        <v>5296966.29</v>
      </c>
      <c r="F15" s="168">
        <f t="shared" ref="F15:G15" si="3">SUM(F16:F20)</f>
        <v>-58966.29</v>
      </c>
      <c r="G15" s="204">
        <f t="shared" si="3"/>
        <v>5296.9</v>
      </c>
      <c r="H15" s="116"/>
      <c r="I15" s="116"/>
      <c r="J15" s="116"/>
      <c r="K15" s="116"/>
      <c r="L15" s="116"/>
      <c r="M15" s="116"/>
    </row>
    <row r="16" spans="1:13" ht="31.5">
      <c r="A16" s="135" t="s">
        <v>1106</v>
      </c>
      <c r="B16" s="136"/>
      <c r="C16" s="136" t="s">
        <v>1107</v>
      </c>
      <c r="D16" s="137">
        <v>602400</v>
      </c>
      <c r="E16" s="137">
        <v>657150.11</v>
      </c>
      <c r="F16" s="167">
        <f t="shared" si="2"/>
        <v>-54750.11</v>
      </c>
      <c r="G16" s="202">
        <f t="shared" si="0"/>
        <v>657.2</v>
      </c>
      <c r="H16" s="122"/>
      <c r="I16" s="122"/>
      <c r="J16" s="122"/>
      <c r="K16" s="122"/>
      <c r="L16" s="122"/>
      <c r="M16" s="122"/>
    </row>
    <row r="17" spans="1:13" ht="31.5">
      <c r="A17" s="135" t="s">
        <v>1108</v>
      </c>
      <c r="B17" s="136"/>
      <c r="C17" s="136" t="s">
        <v>1109</v>
      </c>
      <c r="D17" s="137">
        <v>167600</v>
      </c>
      <c r="E17" s="137">
        <v>172943.42</v>
      </c>
      <c r="F17" s="167">
        <f t="shared" si="2"/>
        <v>-5343.42</v>
      </c>
      <c r="G17" s="202">
        <f t="shared" si="0"/>
        <v>172.9</v>
      </c>
      <c r="H17" s="122"/>
      <c r="I17" s="122"/>
      <c r="J17" s="122"/>
      <c r="K17" s="122"/>
      <c r="L17" s="122"/>
      <c r="M17" s="122"/>
    </row>
    <row r="18" spans="1:13" ht="31.5">
      <c r="A18" s="135" t="s">
        <v>1110</v>
      </c>
      <c r="B18" s="136"/>
      <c r="C18" s="136" t="s">
        <v>1111</v>
      </c>
      <c r="D18" s="137">
        <v>639000</v>
      </c>
      <c r="E18" s="137">
        <v>591003.89</v>
      </c>
      <c r="F18" s="167">
        <f t="shared" si="2"/>
        <v>47996.11</v>
      </c>
      <c r="G18" s="202">
        <f t="shared" si="0"/>
        <v>591</v>
      </c>
      <c r="H18" s="122"/>
      <c r="I18" s="122"/>
      <c r="J18" s="122"/>
      <c r="K18" s="122"/>
      <c r="L18" s="122"/>
      <c r="M18" s="122"/>
    </row>
    <row r="19" spans="1:13" ht="31.5">
      <c r="A19" s="135" t="s">
        <v>1112</v>
      </c>
      <c r="B19" s="136"/>
      <c r="C19" s="136" t="s">
        <v>1113</v>
      </c>
      <c r="D19" s="137">
        <v>3829000</v>
      </c>
      <c r="E19" s="137">
        <v>3875748.83</v>
      </c>
      <c r="F19" s="167">
        <f t="shared" si="2"/>
        <v>-46748.83</v>
      </c>
      <c r="G19" s="202">
        <f t="shared" si="0"/>
        <v>3875.7</v>
      </c>
      <c r="H19" s="122"/>
      <c r="I19" s="122"/>
      <c r="J19" s="122"/>
      <c r="K19" s="122"/>
      <c r="L19" s="122"/>
      <c r="M19" s="122"/>
    </row>
    <row r="20" spans="1:13" ht="31.5">
      <c r="A20" s="138" t="s">
        <v>1114</v>
      </c>
      <c r="B20" s="136"/>
      <c r="C20" s="136" t="s">
        <v>1115</v>
      </c>
      <c r="D20" s="137"/>
      <c r="E20" s="137">
        <v>120.04</v>
      </c>
      <c r="F20" s="167">
        <f t="shared" si="2"/>
        <v>-120.04</v>
      </c>
      <c r="G20" s="202">
        <f t="shared" si="0"/>
        <v>0.1</v>
      </c>
      <c r="H20" s="122"/>
      <c r="I20" s="122"/>
      <c r="J20" s="122"/>
      <c r="K20" s="122"/>
      <c r="L20" s="122"/>
      <c r="M20" s="122"/>
    </row>
    <row r="21" spans="1:13" s="114" customFormat="1">
      <c r="A21" s="138" t="s">
        <v>1116</v>
      </c>
      <c r="B21" s="136" t="s">
        <v>1117</v>
      </c>
      <c r="C21" s="136"/>
      <c r="D21" s="137">
        <f>D22</f>
        <v>0</v>
      </c>
      <c r="E21" s="137">
        <f>E22</f>
        <v>338566.36</v>
      </c>
      <c r="F21" s="168">
        <f t="shared" ref="F21:G21" si="4">F22</f>
        <v>-338566.36</v>
      </c>
      <c r="G21" s="204">
        <f t="shared" si="4"/>
        <v>338.6</v>
      </c>
      <c r="H21" s="116"/>
      <c r="I21" s="116"/>
      <c r="J21" s="116"/>
      <c r="K21" s="116"/>
      <c r="L21" s="116"/>
      <c r="M21" s="116"/>
    </row>
    <row r="22" spans="1:13" ht="47.25">
      <c r="A22" s="135" t="s">
        <v>1118</v>
      </c>
      <c r="B22" s="136"/>
      <c r="C22" s="136" t="s">
        <v>1119</v>
      </c>
      <c r="D22" s="137"/>
      <c r="E22" s="137">
        <v>338566.36</v>
      </c>
      <c r="F22" s="167">
        <f t="shared" si="2"/>
        <v>-338566.36</v>
      </c>
      <c r="G22" s="202">
        <f t="shared" si="0"/>
        <v>338.6</v>
      </c>
      <c r="H22" s="122"/>
      <c r="I22" s="122"/>
      <c r="J22" s="122"/>
      <c r="K22" s="122"/>
      <c r="L22" s="122"/>
      <c r="M22" s="122"/>
    </row>
    <row r="23" spans="1:13" s="114" customFormat="1" ht="63">
      <c r="A23" s="135" t="s">
        <v>1120</v>
      </c>
      <c r="B23" s="136" t="s">
        <v>1121</v>
      </c>
      <c r="C23" s="139"/>
      <c r="D23" s="137">
        <f>SUM(D24)</f>
        <v>0</v>
      </c>
      <c r="E23" s="137">
        <f>SUM(E24)</f>
        <v>-1000</v>
      </c>
      <c r="F23" s="168">
        <f t="shared" ref="F23:G23" si="5">SUM(F24)</f>
        <v>1000</v>
      </c>
      <c r="G23" s="204">
        <f t="shared" si="5"/>
        <v>-1</v>
      </c>
      <c r="H23" s="116"/>
      <c r="I23" s="116"/>
      <c r="J23" s="116"/>
      <c r="K23" s="116"/>
      <c r="L23" s="116"/>
      <c r="M23" s="116"/>
    </row>
    <row r="24" spans="1:13" ht="94.5">
      <c r="A24" s="135" t="s">
        <v>1122</v>
      </c>
      <c r="B24" s="136"/>
      <c r="C24" s="136" t="s">
        <v>1123</v>
      </c>
      <c r="D24" s="137"/>
      <c r="E24" s="137">
        <v>-1000</v>
      </c>
      <c r="F24" s="167">
        <f t="shared" si="2"/>
        <v>1000</v>
      </c>
      <c r="G24" s="202">
        <f t="shared" si="0"/>
        <v>-1</v>
      </c>
      <c r="H24" s="122"/>
      <c r="I24" s="122"/>
      <c r="J24" s="122"/>
      <c r="K24" s="122"/>
      <c r="L24" s="122"/>
      <c r="M24" s="122"/>
    </row>
    <row r="25" spans="1:13" s="114" customFormat="1" ht="31.5">
      <c r="A25" s="140" t="s">
        <v>1124</v>
      </c>
      <c r="B25" s="136" t="s">
        <v>1125</v>
      </c>
      <c r="C25" s="139"/>
      <c r="D25" s="137">
        <f>SUM(D26:D30)</f>
        <v>606956400</v>
      </c>
      <c r="E25" s="137">
        <f>SUM(E26:E30)</f>
        <v>565220739.78999996</v>
      </c>
      <c r="F25" s="168">
        <f t="shared" ref="F25:G25" si="6">SUM(F26:F30)</f>
        <v>41735660.210000001</v>
      </c>
      <c r="G25" s="204">
        <f t="shared" si="6"/>
        <v>565220.69999999995</v>
      </c>
      <c r="H25" s="116"/>
      <c r="I25" s="116"/>
      <c r="J25" s="116"/>
      <c r="K25" s="116"/>
      <c r="L25" s="116"/>
      <c r="M25" s="116"/>
    </row>
    <row r="26" spans="1:13" ht="47.25">
      <c r="A26" s="135" t="s">
        <v>1126</v>
      </c>
      <c r="B26" s="136"/>
      <c r="C26" s="136" t="s">
        <v>1127</v>
      </c>
      <c r="D26" s="137">
        <v>237126000</v>
      </c>
      <c r="E26" s="137">
        <v>235964167.27000001</v>
      </c>
      <c r="F26" s="167">
        <f t="shared" si="2"/>
        <v>1161832.73</v>
      </c>
      <c r="G26" s="202">
        <f t="shared" si="0"/>
        <v>235964.2</v>
      </c>
      <c r="H26" s="122"/>
      <c r="I26" s="122"/>
      <c r="J26" s="122"/>
      <c r="K26" s="122"/>
      <c r="L26" s="122"/>
      <c r="M26" s="122"/>
    </row>
    <row r="27" spans="1:13" ht="78.75">
      <c r="A27" s="135" t="s">
        <v>1128</v>
      </c>
      <c r="B27" s="136"/>
      <c r="C27" s="136" t="s">
        <v>1129</v>
      </c>
      <c r="D27" s="137">
        <v>4606000</v>
      </c>
      <c r="E27" s="137">
        <v>4198789.54</v>
      </c>
      <c r="F27" s="167">
        <f t="shared" si="2"/>
        <v>407210.46</v>
      </c>
      <c r="G27" s="202">
        <f t="shared" si="0"/>
        <v>4198.8</v>
      </c>
      <c r="H27" s="122"/>
      <c r="I27" s="122"/>
      <c r="J27" s="122"/>
      <c r="K27" s="122"/>
      <c r="L27" s="122"/>
      <c r="M27" s="122"/>
    </row>
    <row r="28" spans="1:13" ht="78.75">
      <c r="A28" s="135" t="s">
        <v>1130</v>
      </c>
      <c r="B28" s="136"/>
      <c r="C28" s="136" t="s">
        <v>1131</v>
      </c>
      <c r="D28" s="137">
        <v>338638400</v>
      </c>
      <c r="E28" s="137">
        <v>306320067.56</v>
      </c>
      <c r="F28" s="167">
        <f t="shared" si="2"/>
        <v>32318332.440000001</v>
      </c>
      <c r="G28" s="202">
        <v>306320</v>
      </c>
      <c r="H28" s="122"/>
      <c r="I28" s="122"/>
      <c r="J28" s="122"/>
      <c r="K28" s="122"/>
      <c r="L28" s="122"/>
      <c r="M28" s="122"/>
    </row>
    <row r="29" spans="1:13" ht="78.75">
      <c r="A29" s="135" t="s">
        <v>1132</v>
      </c>
      <c r="B29" s="136"/>
      <c r="C29" s="136" t="s">
        <v>1133</v>
      </c>
      <c r="D29" s="137">
        <v>21340000</v>
      </c>
      <c r="E29" s="137">
        <v>13094861.539999999</v>
      </c>
      <c r="F29" s="167">
        <f t="shared" si="2"/>
        <v>8245138.46</v>
      </c>
      <c r="G29" s="202">
        <f t="shared" si="0"/>
        <v>13094.9</v>
      </c>
      <c r="H29" s="122"/>
      <c r="I29" s="122"/>
      <c r="J29" s="122"/>
      <c r="K29" s="122"/>
      <c r="L29" s="122"/>
      <c r="M29" s="122"/>
    </row>
    <row r="30" spans="1:13" ht="78.75">
      <c r="A30" s="135" t="s">
        <v>1134</v>
      </c>
      <c r="B30" s="136"/>
      <c r="C30" s="136" t="s">
        <v>1135</v>
      </c>
      <c r="D30" s="137">
        <v>5246000</v>
      </c>
      <c r="E30" s="137">
        <v>5642853.8799999999</v>
      </c>
      <c r="F30" s="167">
        <f t="shared" si="2"/>
        <v>-396853.88</v>
      </c>
      <c r="G30" s="202">
        <v>5642.8</v>
      </c>
      <c r="H30" s="122"/>
      <c r="I30" s="122"/>
      <c r="J30" s="122"/>
      <c r="K30" s="122"/>
      <c r="L30" s="122"/>
      <c r="M30" s="122"/>
    </row>
    <row r="31" spans="1:13" s="114" customFormat="1" ht="31.5">
      <c r="A31" s="140" t="s">
        <v>1136</v>
      </c>
      <c r="B31" s="136" t="s">
        <v>1137</v>
      </c>
      <c r="C31" s="139"/>
      <c r="D31" s="137">
        <f>SUM(D32:D33)</f>
        <v>245000</v>
      </c>
      <c r="E31" s="137">
        <f>SUM(E32:E33)</f>
        <v>248400</v>
      </c>
      <c r="F31" s="168">
        <f t="shared" ref="F31:G31" si="7">SUM(F32:F33)</f>
        <v>-3400</v>
      </c>
      <c r="G31" s="204">
        <f t="shared" si="7"/>
        <v>248.4</v>
      </c>
      <c r="H31" s="116"/>
      <c r="I31" s="116"/>
      <c r="J31" s="116"/>
      <c r="K31" s="116"/>
      <c r="L31" s="116"/>
      <c r="M31" s="116"/>
    </row>
    <row r="32" spans="1:13" ht="31.5">
      <c r="A32" s="135" t="s">
        <v>1138</v>
      </c>
      <c r="B32" s="136"/>
      <c r="C32" s="136" t="s">
        <v>1139</v>
      </c>
      <c r="D32" s="137">
        <v>95000</v>
      </c>
      <c r="E32" s="137">
        <v>86400</v>
      </c>
      <c r="F32" s="167">
        <f t="shared" si="2"/>
        <v>8600</v>
      </c>
      <c r="G32" s="202">
        <f t="shared" si="0"/>
        <v>86.4</v>
      </c>
      <c r="H32" s="122"/>
      <c r="I32" s="122"/>
      <c r="J32" s="122"/>
      <c r="K32" s="122"/>
      <c r="L32" s="122"/>
      <c r="M32" s="122"/>
    </row>
    <row r="33" spans="1:13" ht="78.75">
      <c r="A33" s="135" t="s">
        <v>1140</v>
      </c>
      <c r="B33" s="136"/>
      <c r="C33" s="136" t="s">
        <v>1141</v>
      </c>
      <c r="D33" s="137">
        <v>150000</v>
      </c>
      <c r="E33" s="137">
        <v>162000</v>
      </c>
      <c r="F33" s="167">
        <f t="shared" si="2"/>
        <v>-12000</v>
      </c>
      <c r="G33" s="202">
        <f t="shared" si="0"/>
        <v>162</v>
      </c>
      <c r="H33" s="122"/>
      <c r="I33" s="122"/>
      <c r="J33" s="122"/>
      <c r="K33" s="122"/>
      <c r="L33" s="122"/>
      <c r="M33" s="122"/>
    </row>
    <row r="34" spans="1:13" s="114" customFormat="1" ht="78.75">
      <c r="A34" s="140" t="s">
        <v>1142</v>
      </c>
      <c r="B34" s="136" t="s">
        <v>1143</v>
      </c>
      <c r="C34" s="139"/>
      <c r="D34" s="137">
        <f>SUM(D35)</f>
        <v>2600000</v>
      </c>
      <c r="E34" s="137">
        <f>SUM(E35)</f>
        <v>2614106.86</v>
      </c>
      <c r="F34" s="168">
        <f t="shared" ref="F34:G34" si="8">SUM(F35)</f>
        <v>-14106.86</v>
      </c>
      <c r="G34" s="204">
        <f t="shared" si="8"/>
        <v>2614.1</v>
      </c>
      <c r="H34" s="116"/>
      <c r="I34" s="116"/>
      <c r="J34" s="116"/>
      <c r="K34" s="116"/>
      <c r="L34" s="116"/>
      <c r="M34" s="116"/>
    </row>
    <row r="35" spans="1:13" ht="47.25">
      <c r="A35" s="135" t="s">
        <v>1118</v>
      </c>
      <c r="B35" s="136"/>
      <c r="C35" s="136" t="s">
        <v>1119</v>
      </c>
      <c r="D35" s="137">
        <v>2600000</v>
      </c>
      <c r="E35" s="137">
        <v>2614106.86</v>
      </c>
      <c r="F35" s="167">
        <f t="shared" si="2"/>
        <v>-14106.86</v>
      </c>
      <c r="G35" s="202">
        <f t="shared" si="0"/>
        <v>2614.1</v>
      </c>
      <c r="H35" s="122"/>
      <c r="I35" s="122"/>
      <c r="J35" s="122"/>
      <c r="K35" s="122"/>
      <c r="L35" s="122"/>
      <c r="M35" s="122"/>
    </row>
    <row r="36" spans="1:13" s="114" customFormat="1" ht="31.5">
      <c r="A36" s="140" t="s">
        <v>1144</v>
      </c>
      <c r="B36" s="136" t="s">
        <v>1145</v>
      </c>
      <c r="C36" s="139"/>
      <c r="D36" s="141">
        <f>SUM(D37:D62)</f>
        <v>1587530600</v>
      </c>
      <c r="E36" s="141">
        <f>SUM(E37:E62)</f>
        <v>1598530858.6700001</v>
      </c>
      <c r="F36" s="169">
        <f t="shared" ref="F36:G36" si="9">SUM(F37:F62)</f>
        <v>-11000258.67</v>
      </c>
      <c r="G36" s="205">
        <f t="shared" si="9"/>
        <v>1598530.8</v>
      </c>
      <c r="H36" s="116"/>
      <c r="I36" s="116"/>
      <c r="J36" s="116"/>
      <c r="K36" s="116"/>
      <c r="L36" s="116"/>
      <c r="M36" s="116"/>
    </row>
    <row r="37" spans="1:13" ht="31.5">
      <c r="A37" s="135" t="s">
        <v>1146</v>
      </c>
      <c r="B37" s="136"/>
      <c r="C37" s="136" t="s">
        <v>1147</v>
      </c>
      <c r="D37" s="137">
        <v>445140000</v>
      </c>
      <c r="E37" s="137">
        <v>436846309.42000002</v>
      </c>
      <c r="F37" s="167">
        <f t="shared" si="2"/>
        <v>8293690.5800000001</v>
      </c>
      <c r="G37" s="202">
        <f t="shared" si="0"/>
        <v>436846.3</v>
      </c>
      <c r="H37" s="122"/>
      <c r="I37" s="122"/>
      <c r="J37" s="122"/>
      <c r="K37" s="122"/>
      <c r="L37" s="122"/>
      <c r="M37" s="122"/>
    </row>
    <row r="38" spans="1:13" ht="126">
      <c r="A38" s="135" t="s">
        <v>1148</v>
      </c>
      <c r="B38" s="136"/>
      <c r="C38" s="136" t="s">
        <v>1149</v>
      </c>
      <c r="D38" s="137"/>
      <c r="E38" s="137">
        <v>81793.58</v>
      </c>
      <c r="F38" s="167">
        <f t="shared" si="2"/>
        <v>-81793.58</v>
      </c>
      <c r="G38" s="202">
        <f t="shared" si="0"/>
        <v>81.8</v>
      </c>
      <c r="H38" s="122"/>
      <c r="I38" s="122"/>
      <c r="J38" s="122"/>
      <c r="K38" s="122"/>
      <c r="L38" s="122"/>
      <c r="M38" s="122"/>
    </row>
    <row r="39" spans="1:13" ht="94.5">
      <c r="A39" s="138" t="s">
        <v>1150</v>
      </c>
      <c r="B39" s="136"/>
      <c r="C39" s="136" t="s">
        <v>1151</v>
      </c>
      <c r="D39" s="137">
        <v>923600000</v>
      </c>
      <c r="E39" s="137">
        <v>938017671.37</v>
      </c>
      <c r="F39" s="167">
        <f t="shared" si="2"/>
        <v>-14417671.369999999</v>
      </c>
      <c r="G39" s="202">
        <f t="shared" si="0"/>
        <v>938017.7</v>
      </c>
      <c r="H39" s="122"/>
      <c r="I39" s="122"/>
      <c r="J39" s="122"/>
      <c r="K39" s="122"/>
      <c r="L39" s="122"/>
      <c r="M39" s="122"/>
    </row>
    <row r="40" spans="1:13" ht="141.75">
      <c r="A40" s="138" t="s">
        <v>1152</v>
      </c>
      <c r="B40" s="136"/>
      <c r="C40" s="136" t="s">
        <v>1153</v>
      </c>
      <c r="D40" s="137">
        <v>7660000</v>
      </c>
      <c r="E40" s="137">
        <v>7711748.79</v>
      </c>
      <c r="F40" s="167">
        <f t="shared" si="2"/>
        <v>-51748.79</v>
      </c>
      <c r="G40" s="202">
        <f t="shared" si="0"/>
        <v>7711.7</v>
      </c>
      <c r="H40" s="122"/>
      <c r="I40" s="122"/>
      <c r="J40" s="122"/>
      <c r="K40" s="122"/>
      <c r="L40" s="122"/>
      <c r="M40" s="122"/>
    </row>
    <row r="41" spans="1:13" ht="63">
      <c r="A41" s="138" t="s">
        <v>1154</v>
      </c>
      <c r="B41" s="136"/>
      <c r="C41" s="136" t="s">
        <v>1155</v>
      </c>
      <c r="D41" s="137">
        <v>4999000</v>
      </c>
      <c r="E41" s="137">
        <v>5791975.2800000003</v>
      </c>
      <c r="F41" s="167">
        <f t="shared" si="2"/>
        <v>-792975.28</v>
      </c>
      <c r="G41" s="202">
        <f t="shared" si="0"/>
        <v>5792</v>
      </c>
      <c r="H41" s="122"/>
      <c r="I41" s="122"/>
      <c r="J41" s="122"/>
      <c r="K41" s="122"/>
      <c r="L41" s="122"/>
      <c r="M41" s="122"/>
    </row>
    <row r="42" spans="1:13" ht="110.25">
      <c r="A42" s="138" t="s">
        <v>1156</v>
      </c>
      <c r="B42" s="136"/>
      <c r="C42" s="136" t="s">
        <v>1157</v>
      </c>
      <c r="D42" s="137">
        <v>6601000</v>
      </c>
      <c r="E42" s="137">
        <v>5752773.54</v>
      </c>
      <c r="F42" s="167">
        <f t="shared" si="2"/>
        <v>848226.46</v>
      </c>
      <c r="G42" s="202">
        <f t="shared" si="0"/>
        <v>5752.8</v>
      </c>
      <c r="H42" s="122"/>
      <c r="I42" s="122"/>
      <c r="J42" s="122"/>
      <c r="K42" s="122"/>
      <c r="L42" s="122"/>
      <c r="M42" s="122"/>
    </row>
    <row r="43" spans="1:13" ht="31.5">
      <c r="A43" s="135" t="s">
        <v>1158</v>
      </c>
      <c r="B43" s="136"/>
      <c r="C43" s="136" t="s">
        <v>1159</v>
      </c>
      <c r="D43" s="137">
        <v>676600</v>
      </c>
      <c r="E43" s="137">
        <v>164717</v>
      </c>
      <c r="F43" s="167">
        <f t="shared" si="2"/>
        <v>511883</v>
      </c>
      <c r="G43" s="202">
        <f t="shared" si="0"/>
        <v>164.7</v>
      </c>
      <c r="H43" s="122"/>
      <c r="I43" s="122"/>
      <c r="J43" s="122"/>
      <c r="K43" s="122"/>
      <c r="L43" s="122"/>
      <c r="M43" s="122"/>
    </row>
    <row r="44" spans="1:13" ht="31.5">
      <c r="A44" s="163" t="s">
        <v>1160</v>
      </c>
      <c r="B44" s="136"/>
      <c r="C44" s="136" t="s">
        <v>1161</v>
      </c>
      <c r="D44" s="137"/>
      <c r="E44" s="137">
        <v>151491.94</v>
      </c>
      <c r="F44" s="167">
        <f t="shared" si="2"/>
        <v>-151491.94</v>
      </c>
      <c r="G44" s="202">
        <f t="shared" si="0"/>
        <v>151.5</v>
      </c>
      <c r="H44" s="122"/>
      <c r="I44" s="122"/>
      <c r="J44" s="122"/>
      <c r="K44" s="122"/>
      <c r="L44" s="122"/>
      <c r="M44" s="122"/>
    </row>
    <row r="45" spans="1:13" ht="31.5">
      <c r="A45" s="135" t="s">
        <v>1162</v>
      </c>
      <c r="B45" s="136"/>
      <c r="C45" s="136" t="s">
        <v>1163</v>
      </c>
      <c r="D45" s="137">
        <v>113951000</v>
      </c>
      <c r="E45" s="137">
        <v>116214987.55</v>
      </c>
      <c r="F45" s="167">
        <f t="shared" si="2"/>
        <v>-2263987.5499999998</v>
      </c>
      <c r="G45" s="202">
        <f t="shared" si="0"/>
        <v>116215</v>
      </c>
      <c r="H45" s="122"/>
      <c r="I45" s="122"/>
      <c r="J45" s="122"/>
      <c r="K45" s="122"/>
      <c r="L45" s="122"/>
      <c r="M45" s="122"/>
    </row>
    <row r="46" spans="1:13" ht="31.5">
      <c r="A46" s="135" t="s">
        <v>1164</v>
      </c>
      <c r="B46" s="136"/>
      <c r="C46" s="136" t="s">
        <v>1165</v>
      </c>
      <c r="D46" s="137">
        <v>726000</v>
      </c>
      <c r="E46" s="137">
        <v>701515.3</v>
      </c>
      <c r="F46" s="167">
        <f t="shared" si="2"/>
        <v>24484.7</v>
      </c>
      <c r="G46" s="202">
        <f t="shared" si="0"/>
        <v>701.5</v>
      </c>
      <c r="H46" s="122"/>
      <c r="I46" s="122"/>
      <c r="J46" s="122"/>
      <c r="K46" s="122"/>
      <c r="L46" s="122"/>
      <c r="M46" s="122"/>
    </row>
    <row r="47" spans="1:13">
      <c r="A47" s="135" t="s">
        <v>1166</v>
      </c>
      <c r="B47" s="136"/>
      <c r="C47" s="136" t="s">
        <v>1167</v>
      </c>
      <c r="D47" s="137">
        <v>17716000</v>
      </c>
      <c r="E47" s="137">
        <v>17216264.280000001</v>
      </c>
      <c r="F47" s="167">
        <f t="shared" si="2"/>
        <v>499735.72</v>
      </c>
      <c r="G47" s="202">
        <f t="shared" si="0"/>
        <v>17216.3</v>
      </c>
      <c r="H47" s="122"/>
      <c r="I47" s="122"/>
      <c r="J47" s="122"/>
      <c r="K47" s="122"/>
      <c r="L47" s="122"/>
      <c r="M47" s="122"/>
    </row>
    <row r="48" spans="1:13">
      <c r="A48" s="135" t="s">
        <v>1168</v>
      </c>
      <c r="B48" s="136"/>
      <c r="C48" s="136" t="s">
        <v>1169</v>
      </c>
      <c r="D48" s="137">
        <v>66362000</v>
      </c>
      <c r="E48" s="137">
        <v>69747074.319999993</v>
      </c>
      <c r="F48" s="167">
        <f t="shared" si="2"/>
        <v>-3385074.32</v>
      </c>
      <c r="G48" s="202">
        <f t="shared" si="0"/>
        <v>69747.100000000006</v>
      </c>
      <c r="H48" s="122"/>
      <c r="I48" s="122"/>
      <c r="J48" s="122"/>
      <c r="K48" s="122"/>
      <c r="L48" s="122"/>
      <c r="M48" s="122"/>
    </row>
    <row r="49" spans="1:13">
      <c r="A49" s="135" t="s">
        <v>1170</v>
      </c>
      <c r="B49" s="136"/>
      <c r="C49" s="136" t="s">
        <v>1171</v>
      </c>
      <c r="D49" s="137"/>
      <c r="E49" s="137">
        <v>-26256</v>
      </c>
      <c r="F49" s="167">
        <f t="shared" si="2"/>
        <v>26256</v>
      </c>
      <c r="G49" s="202">
        <f t="shared" si="0"/>
        <v>-26.3</v>
      </c>
      <c r="H49" s="122"/>
      <c r="I49" s="122"/>
      <c r="J49" s="122"/>
      <c r="K49" s="122"/>
      <c r="L49" s="122"/>
      <c r="M49" s="122"/>
    </row>
    <row r="50" spans="1:13" ht="47.25">
      <c r="A50" s="135" t="s">
        <v>1172</v>
      </c>
      <c r="B50" s="136"/>
      <c r="C50" s="136" t="s">
        <v>1173</v>
      </c>
      <c r="D50" s="137"/>
      <c r="E50" s="137">
        <v>832.7</v>
      </c>
      <c r="F50" s="167">
        <f t="shared" si="2"/>
        <v>-832.7</v>
      </c>
      <c r="G50" s="202">
        <f t="shared" si="0"/>
        <v>0.8</v>
      </c>
      <c r="H50" s="122"/>
      <c r="I50" s="122"/>
      <c r="J50" s="122"/>
      <c r="K50" s="122"/>
      <c r="L50" s="122"/>
      <c r="M50" s="122"/>
    </row>
    <row r="51" spans="1:13" ht="47.25">
      <c r="A51" s="142" t="s">
        <v>1174</v>
      </c>
      <c r="B51" s="136"/>
      <c r="C51" s="136" t="s">
        <v>1175</v>
      </c>
      <c r="D51" s="137">
        <v>9000</v>
      </c>
      <c r="E51" s="137">
        <v>3233.38</v>
      </c>
      <c r="F51" s="167">
        <f t="shared" si="2"/>
        <v>5766.62</v>
      </c>
      <c r="G51" s="202">
        <f t="shared" si="0"/>
        <v>3.2</v>
      </c>
      <c r="H51" s="122"/>
      <c r="I51" s="122"/>
      <c r="J51" s="122"/>
      <c r="K51" s="122"/>
      <c r="L51" s="122"/>
      <c r="M51" s="122"/>
    </row>
    <row r="52" spans="1:13" ht="47.25">
      <c r="A52" s="206" t="s">
        <v>1176</v>
      </c>
      <c r="B52" s="136"/>
      <c r="C52" s="136" t="s">
        <v>1177</v>
      </c>
      <c r="D52" s="137"/>
      <c r="E52" s="137">
        <v>8</v>
      </c>
      <c r="F52" s="167">
        <f t="shared" si="2"/>
        <v>-8</v>
      </c>
      <c r="G52" s="202">
        <f t="shared" si="0"/>
        <v>0</v>
      </c>
      <c r="H52" s="122"/>
      <c r="I52" s="122"/>
      <c r="J52" s="122"/>
      <c r="K52" s="122"/>
      <c r="L52" s="122"/>
      <c r="M52" s="122"/>
    </row>
    <row r="53" spans="1:13">
      <c r="A53" s="135" t="s">
        <v>1178</v>
      </c>
      <c r="B53" s="136"/>
      <c r="C53" s="136" t="s">
        <v>1179</v>
      </c>
      <c r="D53" s="137"/>
      <c r="E53" s="137">
        <v>-1350.48</v>
      </c>
      <c r="F53" s="167">
        <f t="shared" si="2"/>
        <v>1350.48</v>
      </c>
      <c r="G53" s="202">
        <f t="shared" si="0"/>
        <v>-1.4</v>
      </c>
      <c r="H53" s="122"/>
      <c r="I53" s="122"/>
      <c r="J53" s="122"/>
      <c r="K53" s="122"/>
      <c r="L53" s="122"/>
      <c r="M53" s="122"/>
    </row>
    <row r="54" spans="1:13" ht="94.5">
      <c r="A54" s="135" t="s">
        <v>1180</v>
      </c>
      <c r="B54" s="136"/>
      <c r="C54" s="136" t="s">
        <v>1181</v>
      </c>
      <c r="D54" s="137"/>
      <c r="E54" s="137">
        <v>-121.86</v>
      </c>
      <c r="F54" s="167">
        <f t="shared" si="2"/>
        <v>121.86</v>
      </c>
      <c r="G54" s="202">
        <f t="shared" si="0"/>
        <v>-0.1</v>
      </c>
      <c r="H54" s="122"/>
      <c r="I54" s="122"/>
      <c r="J54" s="122"/>
      <c r="K54" s="122"/>
      <c r="L54" s="122"/>
      <c r="M54" s="122"/>
    </row>
    <row r="55" spans="1:13">
      <c r="A55" s="135" t="s">
        <v>1182</v>
      </c>
      <c r="B55" s="136"/>
      <c r="C55" s="136" t="s">
        <v>1183</v>
      </c>
      <c r="D55" s="137"/>
      <c r="E55" s="137">
        <v>-18955.060000000001</v>
      </c>
      <c r="F55" s="167">
        <f t="shared" si="2"/>
        <v>18955.060000000001</v>
      </c>
      <c r="G55" s="202">
        <f t="shared" si="0"/>
        <v>-19</v>
      </c>
      <c r="H55" s="122"/>
      <c r="I55" s="122"/>
      <c r="J55" s="122"/>
      <c r="K55" s="122"/>
      <c r="L55" s="122"/>
      <c r="M55" s="122"/>
    </row>
    <row r="56" spans="1:13" ht="31.5">
      <c r="A56" s="135" t="s">
        <v>1184</v>
      </c>
      <c r="B56" s="136"/>
      <c r="C56" s="136" t="s">
        <v>1185</v>
      </c>
      <c r="D56" s="137"/>
      <c r="E56" s="137">
        <v>8060.34</v>
      </c>
      <c r="F56" s="167">
        <f t="shared" si="2"/>
        <v>-8060.34</v>
      </c>
      <c r="G56" s="202">
        <f t="shared" si="0"/>
        <v>8.1</v>
      </c>
      <c r="H56" s="122"/>
      <c r="I56" s="122"/>
      <c r="J56" s="122"/>
      <c r="K56" s="122"/>
      <c r="L56" s="122"/>
      <c r="M56" s="122"/>
    </row>
    <row r="57" spans="1:13">
      <c r="A57" s="135" t="s">
        <v>1186</v>
      </c>
      <c r="B57" s="136"/>
      <c r="C57" s="136" t="s">
        <v>1187</v>
      </c>
      <c r="D57" s="137"/>
      <c r="E57" s="137">
        <v>67174.33</v>
      </c>
      <c r="F57" s="167">
        <f t="shared" si="2"/>
        <v>-67174.33</v>
      </c>
      <c r="G57" s="202">
        <f t="shared" si="0"/>
        <v>67.2</v>
      </c>
      <c r="H57" s="122"/>
      <c r="I57" s="122"/>
      <c r="J57" s="122"/>
      <c r="K57" s="122"/>
      <c r="L57" s="122"/>
      <c r="M57" s="122"/>
    </row>
    <row r="58" spans="1:13">
      <c r="A58" s="135" t="s">
        <v>1188</v>
      </c>
      <c r="B58" s="136"/>
      <c r="C58" s="136" t="s">
        <v>1189</v>
      </c>
      <c r="D58" s="137"/>
      <c r="E58" s="137">
        <v>12243.82</v>
      </c>
      <c r="F58" s="167">
        <f t="shared" si="2"/>
        <v>-12243.82</v>
      </c>
      <c r="G58" s="202">
        <f t="shared" si="0"/>
        <v>12.2</v>
      </c>
      <c r="H58" s="122"/>
      <c r="I58" s="122"/>
      <c r="J58" s="122"/>
      <c r="K58" s="122"/>
      <c r="L58" s="122"/>
      <c r="M58" s="122"/>
    </row>
    <row r="59" spans="1:13" ht="31.5">
      <c r="A59" s="138" t="s">
        <v>1190</v>
      </c>
      <c r="B59" s="136"/>
      <c r="C59" s="136" t="s">
        <v>1191</v>
      </c>
      <c r="D59" s="137"/>
      <c r="E59" s="137">
        <v>34.5</v>
      </c>
      <c r="F59" s="167">
        <f t="shared" si="2"/>
        <v>-34.5</v>
      </c>
      <c r="G59" s="202">
        <f t="shared" si="0"/>
        <v>0</v>
      </c>
      <c r="H59" s="122"/>
      <c r="I59" s="122"/>
      <c r="J59" s="122"/>
      <c r="K59" s="122"/>
      <c r="L59" s="122"/>
      <c r="M59" s="122"/>
    </row>
    <row r="60" spans="1:13">
      <c r="A60" s="138" t="s">
        <v>1192</v>
      </c>
      <c r="B60" s="136"/>
      <c r="C60" s="136" t="s">
        <v>1193</v>
      </c>
      <c r="D60" s="137"/>
      <c r="E60" s="137">
        <v>397.73</v>
      </c>
      <c r="F60" s="167">
        <f t="shared" si="2"/>
        <v>-397.73</v>
      </c>
      <c r="G60" s="202">
        <f t="shared" si="0"/>
        <v>0.4</v>
      </c>
      <c r="H60" s="122"/>
      <c r="I60" s="122"/>
      <c r="J60" s="122"/>
      <c r="K60" s="122"/>
      <c r="L60" s="122"/>
      <c r="M60" s="122"/>
    </row>
    <row r="61" spans="1:13" ht="47.25">
      <c r="A61" s="135" t="s">
        <v>1194</v>
      </c>
      <c r="B61" s="136"/>
      <c r="C61" s="136" t="s">
        <v>1195</v>
      </c>
      <c r="D61" s="137">
        <v>90000</v>
      </c>
      <c r="E61" s="137">
        <v>87583.95</v>
      </c>
      <c r="F61" s="167">
        <f t="shared" si="2"/>
        <v>2416.0500000000002</v>
      </c>
      <c r="G61" s="202">
        <f t="shared" si="0"/>
        <v>87.6</v>
      </c>
      <c r="H61" s="122"/>
      <c r="I61" s="122"/>
      <c r="J61" s="122"/>
      <c r="K61" s="122"/>
      <c r="L61" s="122"/>
      <c r="M61" s="122"/>
    </row>
    <row r="62" spans="1:13" ht="63">
      <c r="A62" s="135" t="s">
        <v>1196</v>
      </c>
      <c r="B62" s="136"/>
      <c r="C62" s="136" t="s">
        <v>1197</v>
      </c>
      <c r="D62" s="137"/>
      <c r="E62" s="137">
        <v>-349.05</v>
      </c>
      <c r="F62" s="167">
        <f t="shared" si="2"/>
        <v>349.05</v>
      </c>
      <c r="G62" s="202">
        <f t="shared" si="0"/>
        <v>-0.3</v>
      </c>
      <c r="H62" s="122"/>
      <c r="I62" s="122"/>
      <c r="J62" s="122"/>
      <c r="K62" s="122"/>
      <c r="L62" s="122"/>
      <c r="M62" s="122"/>
    </row>
    <row r="63" spans="1:13" s="114" customFormat="1">
      <c r="A63" s="135" t="s">
        <v>1198</v>
      </c>
      <c r="B63" s="136" t="s">
        <v>1199</v>
      </c>
      <c r="C63" s="136"/>
      <c r="D63" s="141">
        <f>D64</f>
        <v>47476000</v>
      </c>
      <c r="E63" s="141">
        <f>E64</f>
        <v>51685266.560000002</v>
      </c>
      <c r="F63" s="169">
        <f t="shared" ref="F63:G63" si="10">F64</f>
        <v>-4209266.5599999996</v>
      </c>
      <c r="G63" s="205">
        <f t="shared" si="10"/>
        <v>51685.3</v>
      </c>
      <c r="H63" s="116"/>
      <c r="I63" s="116"/>
      <c r="J63" s="116"/>
      <c r="K63" s="116"/>
      <c r="L63" s="116"/>
      <c r="M63" s="116"/>
    </row>
    <row r="64" spans="1:13" ht="47.25">
      <c r="A64" s="138" t="s">
        <v>1200</v>
      </c>
      <c r="B64" s="136"/>
      <c r="C64" s="136" t="s">
        <v>1201</v>
      </c>
      <c r="D64" s="137">
        <v>47476000</v>
      </c>
      <c r="E64" s="137">
        <v>51685266.560000002</v>
      </c>
      <c r="F64" s="167">
        <f t="shared" si="2"/>
        <v>-4209266.5599999996</v>
      </c>
      <c r="G64" s="202">
        <f t="shared" si="0"/>
        <v>51685.3</v>
      </c>
      <c r="H64" s="122"/>
      <c r="I64" s="122"/>
      <c r="J64" s="122"/>
      <c r="K64" s="122"/>
      <c r="L64" s="122"/>
      <c r="M64" s="122"/>
    </row>
    <row r="65" spans="1:13" s="114" customFormat="1" ht="31.5">
      <c r="A65" s="140" t="s">
        <v>1202</v>
      </c>
      <c r="B65" s="136" t="s">
        <v>1203</v>
      </c>
      <c r="C65" s="139"/>
      <c r="D65" s="141">
        <f>SUM(D66:D67)</f>
        <v>120000</v>
      </c>
      <c r="E65" s="141">
        <f>SUM(E66:E67)</f>
        <v>124000</v>
      </c>
      <c r="F65" s="169">
        <f t="shared" ref="F65:G65" si="11">SUM(F66:F67)</f>
        <v>-4000</v>
      </c>
      <c r="G65" s="205">
        <f t="shared" si="11"/>
        <v>124</v>
      </c>
      <c r="H65" s="116"/>
      <c r="I65" s="116"/>
      <c r="J65" s="116"/>
      <c r="K65" s="116"/>
      <c r="L65" s="116"/>
      <c r="M65" s="116"/>
    </row>
    <row r="66" spans="1:13" ht="94.5">
      <c r="A66" s="135" t="s">
        <v>1204</v>
      </c>
      <c r="B66" s="136"/>
      <c r="C66" s="136" t="s">
        <v>1205</v>
      </c>
      <c r="D66" s="137">
        <v>100000</v>
      </c>
      <c r="E66" s="137">
        <v>104000</v>
      </c>
      <c r="F66" s="167">
        <f t="shared" si="2"/>
        <v>-4000</v>
      </c>
      <c r="G66" s="202">
        <f t="shared" si="0"/>
        <v>104</v>
      </c>
      <c r="H66" s="122"/>
      <c r="I66" s="122"/>
      <c r="J66" s="122"/>
      <c r="K66" s="122"/>
      <c r="L66" s="122"/>
      <c r="M66" s="122"/>
    </row>
    <row r="67" spans="1:13" ht="47.25">
      <c r="A67" s="135" t="s">
        <v>1206</v>
      </c>
      <c r="B67" s="136"/>
      <c r="C67" s="136" t="s">
        <v>1207</v>
      </c>
      <c r="D67" s="137">
        <v>20000</v>
      </c>
      <c r="E67" s="137">
        <v>20000</v>
      </c>
      <c r="F67" s="167">
        <f t="shared" si="2"/>
        <v>0</v>
      </c>
      <c r="G67" s="202">
        <f t="shared" si="0"/>
        <v>20</v>
      </c>
      <c r="H67" s="122"/>
      <c r="I67" s="122"/>
      <c r="J67" s="122"/>
      <c r="K67" s="122"/>
      <c r="L67" s="122"/>
      <c r="M67" s="122"/>
    </row>
    <row r="68" spans="1:13" s="114" customFormat="1">
      <c r="A68" s="140" t="s">
        <v>1208</v>
      </c>
      <c r="B68" s="136" t="s">
        <v>501</v>
      </c>
      <c r="C68" s="139"/>
      <c r="D68" s="141">
        <f>SUM(D69:D86)</f>
        <v>124661833.83</v>
      </c>
      <c r="E68" s="141">
        <f>SUM(E69:E86)</f>
        <v>124823154.62</v>
      </c>
      <c r="F68" s="169">
        <f t="shared" ref="F68:G68" si="12">SUM(F69:F86)</f>
        <v>-161320.79</v>
      </c>
      <c r="G68" s="205">
        <f t="shared" si="12"/>
        <v>124823.1</v>
      </c>
      <c r="H68" s="116"/>
      <c r="I68" s="116"/>
      <c r="J68" s="116"/>
      <c r="K68" s="116"/>
      <c r="L68" s="116"/>
      <c r="M68" s="116"/>
    </row>
    <row r="69" spans="1:13" ht="94.5">
      <c r="A69" s="135" t="s">
        <v>1209</v>
      </c>
      <c r="B69" s="136" t="s">
        <v>1210</v>
      </c>
      <c r="C69" s="136" t="s">
        <v>1211</v>
      </c>
      <c r="D69" s="137"/>
      <c r="E69" s="137">
        <v>154900</v>
      </c>
      <c r="F69" s="167">
        <f t="shared" si="2"/>
        <v>-154900</v>
      </c>
      <c r="G69" s="202">
        <f t="shared" si="0"/>
        <v>154.9</v>
      </c>
      <c r="H69" s="122"/>
      <c r="I69" s="122"/>
      <c r="J69" s="122"/>
      <c r="K69" s="122"/>
      <c r="L69" s="122"/>
      <c r="M69" s="122"/>
    </row>
    <row r="70" spans="1:13" ht="31.5">
      <c r="A70" s="135" t="s">
        <v>1212</v>
      </c>
      <c r="B70" s="136"/>
      <c r="C70" s="136" t="s">
        <v>1213</v>
      </c>
      <c r="D70" s="137"/>
      <c r="E70" s="137"/>
      <c r="F70" s="167">
        <f t="shared" si="2"/>
        <v>0</v>
      </c>
      <c r="G70" s="202">
        <f t="shared" si="0"/>
        <v>0</v>
      </c>
      <c r="H70" s="122"/>
      <c r="I70" s="122"/>
      <c r="J70" s="122"/>
      <c r="K70" s="122"/>
      <c r="L70" s="122"/>
      <c r="M70" s="122"/>
    </row>
    <row r="71" spans="1:13" ht="63">
      <c r="A71" s="135" t="s">
        <v>1214</v>
      </c>
      <c r="B71" s="136"/>
      <c r="C71" s="136" t="s">
        <v>1215</v>
      </c>
      <c r="D71" s="137">
        <v>17000</v>
      </c>
      <c r="E71" s="137">
        <v>17042.419999999998</v>
      </c>
      <c r="F71" s="167">
        <f t="shared" si="2"/>
        <v>-42.42</v>
      </c>
      <c r="G71" s="202">
        <f t="shared" si="0"/>
        <v>17</v>
      </c>
      <c r="H71" s="122"/>
      <c r="I71" s="122"/>
      <c r="J71" s="122"/>
      <c r="K71" s="122"/>
      <c r="L71" s="122"/>
      <c r="M71" s="122"/>
    </row>
    <row r="72" spans="1:13" ht="31.5">
      <c r="A72" s="138" t="s">
        <v>1216</v>
      </c>
      <c r="B72" s="136"/>
      <c r="C72" s="136" t="s">
        <v>1217</v>
      </c>
      <c r="D72" s="137"/>
      <c r="E72" s="137">
        <v>6378.37</v>
      </c>
      <c r="F72" s="167">
        <f t="shared" si="2"/>
        <v>-6378.37</v>
      </c>
      <c r="G72" s="202">
        <f t="shared" si="0"/>
        <v>6.4</v>
      </c>
      <c r="H72" s="122"/>
      <c r="I72" s="122"/>
      <c r="J72" s="122"/>
      <c r="K72" s="122"/>
      <c r="L72" s="122"/>
      <c r="M72" s="122"/>
    </row>
    <row r="73" spans="1:13" ht="157.5">
      <c r="A73" s="207" t="s">
        <v>1218</v>
      </c>
      <c r="B73" s="136"/>
      <c r="C73" s="136" t="s">
        <v>1219</v>
      </c>
      <c r="D73" s="141">
        <v>1945500</v>
      </c>
      <c r="E73" s="141">
        <v>1945500</v>
      </c>
      <c r="F73" s="167">
        <f t="shared" si="2"/>
        <v>0</v>
      </c>
      <c r="G73" s="202">
        <f t="shared" si="0"/>
        <v>1945.5</v>
      </c>
      <c r="H73" s="122"/>
      <c r="I73" s="122"/>
      <c r="J73" s="122"/>
      <c r="K73" s="122"/>
      <c r="L73" s="122"/>
      <c r="M73" s="122"/>
    </row>
    <row r="74" spans="1:13" ht="94.5">
      <c r="A74" s="207" t="s">
        <v>1220</v>
      </c>
      <c r="B74" s="136"/>
      <c r="C74" s="136" t="s">
        <v>1221</v>
      </c>
      <c r="D74" s="141">
        <v>976100</v>
      </c>
      <c r="E74" s="141">
        <v>976100</v>
      </c>
      <c r="F74" s="167">
        <f t="shared" si="2"/>
        <v>0</v>
      </c>
      <c r="G74" s="202">
        <f t="shared" si="0"/>
        <v>976.1</v>
      </c>
      <c r="H74" s="122"/>
      <c r="I74" s="122"/>
      <c r="J74" s="122"/>
      <c r="K74" s="122"/>
      <c r="L74" s="122"/>
      <c r="M74" s="122"/>
    </row>
    <row r="75" spans="1:13" ht="63">
      <c r="A75" s="207" t="s">
        <v>1222</v>
      </c>
      <c r="B75" s="136"/>
      <c r="C75" s="136" t="s">
        <v>1223</v>
      </c>
      <c r="D75" s="141">
        <v>1613800</v>
      </c>
      <c r="E75" s="141">
        <v>1613800</v>
      </c>
      <c r="F75" s="167">
        <f t="shared" si="2"/>
        <v>0</v>
      </c>
      <c r="G75" s="202">
        <f t="shared" ref="G75:G138" si="13">E75/1000</f>
        <v>1613.8</v>
      </c>
      <c r="H75" s="122"/>
      <c r="I75" s="122"/>
      <c r="J75" s="122"/>
      <c r="K75" s="122"/>
      <c r="L75" s="122"/>
      <c r="M75" s="122"/>
    </row>
    <row r="76" spans="1:13" ht="47.25">
      <c r="A76" s="207" t="s">
        <v>1224</v>
      </c>
      <c r="B76" s="136"/>
      <c r="C76" s="136" t="s">
        <v>1225</v>
      </c>
      <c r="D76" s="141">
        <v>15345300</v>
      </c>
      <c r="E76" s="141">
        <v>15345300</v>
      </c>
      <c r="F76" s="167">
        <f t="shared" si="2"/>
        <v>0</v>
      </c>
      <c r="G76" s="202">
        <f t="shared" si="13"/>
        <v>15345.3</v>
      </c>
      <c r="H76" s="122"/>
      <c r="I76" s="122"/>
      <c r="J76" s="122"/>
      <c r="K76" s="122"/>
      <c r="L76" s="122"/>
      <c r="M76" s="122"/>
    </row>
    <row r="77" spans="1:13" ht="63">
      <c r="A77" s="135" t="s">
        <v>1226</v>
      </c>
      <c r="B77" s="136"/>
      <c r="C77" s="136" t="s">
        <v>1227</v>
      </c>
      <c r="D77" s="141">
        <v>2605200</v>
      </c>
      <c r="E77" s="141">
        <v>2605200</v>
      </c>
      <c r="F77" s="167">
        <f t="shared" si="2"/>
        <v>0</v>
      </c>
      <c r="G77" s="202">
        <f t="shared" si="13"/>
        <v>2605.1999999999998</v>
      </c>
      <c r="H77" s="122"/>
      <c r="I77" s="122"/>
      <c r="J77" s="122"/>
      <c r="K77" s="122"/>
      <c r="L77" s="122"/>
      <c r="M77" s="122"/>
    </row>
    <row r="78" spans="1:13" ht="110.25">
      <c r="A78" s="135" t="s">
        <v>1228</v>
      </c>
      <c r="B78" s="136"/>
      <c r="C78" s="136" t="s">
        <v>1229</v>
      </c>
      <c r="D78" s="141">
        <v>54217200</v>
      </c>
      <c r="E78" s="141">
        <v>54217200</v>
      </c>
      <c r="F78" s="167">
        <f t="shared" si="2"/>
        <v>0</v>
      </c>
      <c r="G78" s="202">
        <f t="shared" si="13"/>
        <v>54217.2</v>
      </c>
      <c r="H78" s="122"/>
      <c r="I78" s="122"/>
      <c r="J78" s="122"/>
      <c r="K78" s="122"/>
      <c r="L78" s="122"/>
      <c r="M78" s="122"/>
    </row>
    <row r="79" spans="1:13" ht="63">
      <c r="A79" s="135" t="s">
        <v>1230</v>
      </c>
      <c r="B79" s="136"/>
      <c r="C79" s="136" t="s">
        <v>1231</v>
      </c>
      <c r="D79" s="141">
        <v>26108600</v>
      </c>
      <c r="E79" s="141">
        <v>26108600</v>
      </c>
      <c r="F79" s="167">
        <f t="shared" si="2"/>
        <v>0</v>
      </c>
      <c r="G79" s="202">
        <f t="shared" si="13"/>
        <v>26108.6</v>
      </c>
      <c r="H79" s="122"/>
      <c r="I79" s="122"/>
      <c r="J79" s="122"/>
      <c r="K79" s="122"/>
      <c r="L79" s="122"/>
      <c r="M79" s="122"/>
    </row>
    <row r="80" spans="1:13" ht="63">
      <c r="A80" s="206" t="s">
        <v>1232</v>
      </c>
      <c r="B80" s="136"/>
      <c r="C80" s="136" t="s">
        <v>1233</v>
      </c>
      <c r="D80" s="141">
        <v>5500000</v>
      </c>
      <c r="E80" s="141">
        <v>5500000</v>
      </c>
      <c r="F80" s="167">
        <f t="shared" si="2"/>
        <v>0</v>
      </c>
      <c r="G80" s="202">
        <f t="shared" si="13"/>
        <v>5500</v>
      </c>
      <c r="H80" s="122"/>
      <c r="I80" s="122"/>
      <c r="J80" s="122"/>
      <c r="K80" s="122"/>
      <c r="L80" s="122"/>
      <c r="M80" s="122"/>
    </row>
    <row r="81" spans="1:13" ht="94.5">
      <c r="A81" s="207" t="s">
        <v>1234</v>
      </c>
      <c r="B81" s="136"/>
      <c r="C81" s="136" t="s">
        <v>1235</v>
      </c>
      <c r="D81" s="141">
        <v>7094000</v>
      </c>
      <c r="E81" s="141">
        <v>7094000</v>
      </c>
      <c r="F81" s="167">
        <f t="shared" si="2"/>
        <v>0</v>
      </c>
      <c r="G81" s="202">
        <f t="shared" si="13"/>
        <v>7094</v>
      </c>
      <c r="H81" s="122"/>
      <c r="I81" s="122"/>
      <c r="J81" s="122"/>
      <c r="K81" s="122"/>
      <c r="L81" s="122"/>
      <c r="M81" s="122"/>
    </row>
    <row r="82" spans="1:13" ht="189">
      <c r="A82" s="206" t="s">
        <v>1236</v>
      </c>
      <c r="B82" s="136"/>
      <c r="C82" s="136" t="s">
        <v>1237</v>
      </c>
      <c r="D82" s="141">
        <v>9307600</v>
      </c>
      <c r="E82" s="141">
        <v>9307600</v>
      </c>
      <c r="F82" s="167">
        <f t="shared" si="2"/>
        <v>0</v>
      </c>
      <c r="G82" s="202">
        <f t="shared" si="13"/>
        <v>9307.6</v>
      </c>
      <c r="H82" s="122"/>
      <c r="I82" s="122"/>
      <c r="J82" s="122"/>
      <c r="K82" s="122"/>
      <c r="L82" s="122"/>
      <c r="M82" s="122"/>
    </row>
    <row r="83" spans="1:13" ht="47.25">
      <c r="A83" s="207" t="s">
        <v>1238</v>
      </c>
      <c r="B83" s="136"/>
      <c r="C83" s="136" t="s">
        <v>1239</v>
      </c>
      <c r="D83" s="141">
        <f>2250070.57+2359.9</f>
        <v>2252430.4700000002</v>
      </c>
      <c r="E83" s="141">
        <v>2252430.4700000002</v>
      </c>
      <c r="F83" s="167">
        <f t="shared" si="2"/>
        <v>0</v>
      </c>
      <c r="G83" s="202">
        <f t="shared" si="13"/>
        <v>2252.4</v>
      </c>
      <c r="H83" s="122"/>
      <c r="I83" s="122"/>
      <c r="J83" s="122"/>
      <c r="K83" s="122"/>
      <c r="L83" s="122"/>
      <c r="M83" s="122"/>
    </row>
    <row r="84" spans="1:13" ht="78.75">
      <c r="A84" s="206" t="s">
        <v>1240</v>
      </c>
      <c r="B84" s="136"/>
      <c r="C84" s="136" t="s">
        <v>1241</v>
      </c>
      <c r="D84" s="141">
        <v>902465.76</v>
      </c>
      <c r="E84" s="141">
        <v>902465.76</v>
      </c>
      <c r="F84" s="167">
        <f t="shared" si="2"/>
        <v>0</v>
      </c>
      <c r="G84" s="202">
        <f t="shared" si="13"/>
        <v>902.5</v>
      </c>
      <c r="H84" s="122"/>
      <c r="I84" s="122"/>
      <c r="J84" s="122"/>
      <c r="K84" s="122"/>
      <c r="L84" s="122"/>
      <c r="M84" s="122"/>
    </row>
    <row r="85" spans="1:13" ht="78.75">
      <c r="A85" s="135" t="s">
        <v>1242</v>
      </c>
      <c r="B85" s="136"/>
      <c r="C85" s="136" t="s">
        <v>1243</v>
      </c>
      <c r="D85" s="141">
        <v>4107500.37</v>
      </c>
      <c r="E85" s="141">
        <v>4107500.37</v>
      </c>
      <c r="F85" s="167">
        <f t="shared" si="2"/>
        <v>0</v>
      </c>
      <c r="G85" s="202">
        <f t="shared" si="13"/>
        <v>4107.5</v>
      </c>
      <c r="H85" s="122"/>
      <c r="I85" s="122"/>
      <c r="J85" s="122"/>
      <c r="K85" s="122"/>
      <c r="L85" s="122"/>
      <c r="M85" s="122"/>
    </row>
    <row r="86" spans="1:13" ht="63">
      <c r="A86" s="135" t="s">
        <v>1244</v>
      </c>
      <c r="B86" s="136"/>
      <c r="C86" s="136" t="s">
        <v>1245</v>
      </c>
      <c r="D86" s="141">
        <f>-6371627.31-959235.46</f>
        <v>-7330862.7699999996</v>
      </c>
      <c r="E86" s="141">
        <v>-7330862.7699999996</v>
      </c>
      <c r="F86" s="167">
        <f t="shared" si="2"/>
        <v>0</v>
      </c>
      <c r="G86" s="202">
        <f t="shared" si="13"/>
        <v>-7330.9</v>
      </c>
      <c r="H86" s="122"/>
      <c r="I86" s="122"/>
      <c r="J86" s="122"/>
      <c r="K86" s="122"/>
      <c r="L86" s="122"/>
      <c r="M86" s="122"/>
    </row>
    <row r="87" spans="1:13" s="114" customFormat="1">
      <c r="A87" s="135" t="s">
        <v>51</v>
      </c>
      <c r="B87" s="136" t="s">
        <v>502</v>
      </c>
      <c r="C87" s="136"/>
      <c r="D87" s="141">
        <f>SUM(D88:D93)</f>
        <v>3711492</v>
      </c>
      <c r="E87" s="141">
        <f>SUM(E88:E93)</f>
        <v>3711492</v>
      </c>
      <c r="F87" s="169">
        <f t="shared" ref="F87:G87" si="14">SUM(F88:F93)</f>
        <v>0</v>
      </c>
      <c r="G87" s="205">
        <f t="shared" si="14"/>
        <v>3711.5</v>
      </c>
      <c r="H87" s="116"/>
      <c r="I87" s="116"/>
      <c r="J87" s="116"/>
      <c r="K87" s="116"/>
      <c r="L87" s="116"/>
      <c r="M87" s="116"/>
    </row>
    <row r="88" spans="1:13" ht="78.75">
      <c r="A88" s="135" t="s">
        <v>1246</v>
      </c>
      <c r="B88" s="136"/>
      <c r="C88" s="136" t="s">
        <v>1247</v>
      </c>
      <c r="D88" s="141">
        <v>2116500</v>
      </c>
      <c r="E88" s="141">
        <v>2116500</v>
      </c>
      <c r="F88" s="167">
        <f t="shared" si="2"/>
        <v>0</v>
      </c>
      <c r="G88" s="202">
        <f t="shared" si="13"/>
        <v>2116.5</v>
      </c>
      <c r="H88" s="122"/>
      <c r="I88" s="122"/>
      <c r="J88" s="122"/>
      <c r="K88" s="122"/>
      <c r="L88" s="122"/>
      <c r="M88" s="122"/>
    </row>
    <row r="89" spans="1:13" ht="78.75">
      <c r="A89" s="135" t="s">
        <v>1248</v>
      </c>
      <c r="B89" s="136" t="s">
        <v>1210</v>
      </c>
      <c r="C89" s="136" t="s">
        <v>1249</v>
      </c>
      <c r="D89" s="141">
        <v>506000</v>
      </c>
      <c r="E89" s="141">
        <v>506000</v>
      </c>
      <c r="F89" s="167">
        <f t="shared" si="2"/>
        <v>0</v>
      </c>
      <c r="G89" s="202">
        <f t="shared" si="13"/>
        <v>506</v>
      </c>
      <c r="H89" s="122"/>
      <c r="I89" s="122"/>
      <c r="J89" s="122"/>
      <c r="K89" s="122"/>
      <c r="L89" s="122"/>
      <c r="M89" s="122"/>
    </row>
    <row r="90" spans="1:13" ht="94.5">
      <c r="A90" s="208" t="s">
        <v>1250</v>
      </c>
      <c r="B90" s="136"/>
      <c r="C90" s="136" t="s">
        <v>1251</v>
      </c>
      <c r="D90" s="141">
        <v>289000</v>
      </c>
      <c r="E90" s="141">
        <v>289000</v>
      </c>
      <c r="F90" s="167">
        <f t="shared" si="2"/>
        <v>0</v>
      </c>
      <c r="G90" s="202">
        <f t="shared" si="13"/>
        <v>289</v>
      </c>
      <c r="H90" s="122"/>
      <c r="I90" s="122"/>
      <c r="J90" s="122"/>
      <c r="K90" s="122"/>
      <c r="L90" s="122"/>
      <c r="M90" s="122"/>
    </row>
    <row r="91" spans="1:13" ht="78.75">
      <c r="A91" s="208" t="s">
        <v>1252</v>
      </c>
      <c r="B91" s="136"/>
      <c r="C91" s="136" t="s">
        <v>1253</v>
      </c>
      <c r="D91" s="141">
        <v>500000</v>
      </c>
      <c r="E91" s="141">
        <v>500000</v>
      </c>
      <c r="F91" s="167">
        <f t="shared" si="2"/>
        <v>0</v>
      </c>
      <c r="G91" s="202">
        <f t="shared" si="13"/>
        <v>500</v>
      </c>
      <c r="H91" s="122"/>
      <c r="I91" s="122"/>
      <c r="J91" s="122"/>
      <c r="K91" s="122"/>
      <c r="L91" s="122"/>
      <c r="M91" s="122"/>
    </row>
    <row r="92" spans="1:13" ht="78.75">
      <c r="A92" s="209" t="s">
        <v>1254</v>
      </c>
      <c r="B92" s="136"/>
      <c r="C92" s="136" t="s">
        <v>1255</v>
      </c>
      <c r="D92" s="141">
        <v>300000</v>
      </c>
      <c r="E92" s="141">
        <v>300000</v>
      </c>
      <c r="F92" s="167">
        <f t="shared" si="2"/>
        <v>0</v>
      </c>
      <c r="G92" s="202">
        <f t="shared" si="13"/>
        <v>300</v>
      </c>
      <c r="H92" s="122"/>
      <c r="I92" s="122"/>
      <c r="J92" s="122"/>
      <c r="K92" s="122"/>
      <c r="L92" s="122"/>
      <c r="M92" s="122"/>
    </row>
    <row r="93" spans="1:13" ht="63">
      <c r="A93" s="135" t="s">
        <v>1244</v>
      </c>
      <c r="B93" s="136"/>
      <c r="C93" s="136" t="s">
        <v>1245</v>
      </c>
      <c r="D93" s="141">
        <v>-8</v>
      </c>
      <c r="E93" s="141">
        <v>-8</v>
      </c>
      <c r="F93" s="167">
        <f t="shared" si="2"/>
        <v>0</v>
      </c>
      <c r="G93" s="202">
        <f t="shared" si="13"/>
        <v>0</v>
      </c>
      <c r="H93" s="122"/>
      <c r="I93" s="122"/>
      <c r="J93" s="122"/>
      <c r="K93" s="122"/>
      <c r="L93" s="122"/>
      <c r="M93" s="122"/>
    </row>
    <row r="94" spans="1:13" s="114" customFormat="1" ht="31.5">
      <c r="A94" s="135" t="s">
        <v>71</v>
      </c>
      <c r="B94" s="136" t="s">
        <v>503</v>
      </c>
      <c r="C94" s="139"/>
      <c r="D94" s="141">
        <f>SUM(D95:D114)</f>
        <v>429021065</v>
      </c>
      <c r="E94" s="141">
        <f>SUM(E95:E114)</f>
        <v>429665700.62</v>
      </c>
      <c r="F94" s="169">
        <f t="shared" ref="F94:G94" si="15">SUM(F95:F114)</f>
        <v>-644635.62</v>
      </c>
      <c r="G94" s="205">
        <f t="shared" si="15"/>
        <v>429665.6</v>
      </c>
      <c r="H94" s="116"/>
      <c r="I94" s="116"/>
      <c r="J94" s="116"/>
      <c r="K94" s="116"/>
      <c r="L94" s="116"/>
      <c r="M94" s="116"/>
    </row>
    <row r="95" spans="1:13" ht="94.5">
      <c r="A95" s="135" t="s">
        <v>1209</v>
      </c>
      <c r="B95" s="136"/>
      <c r="C95" s="136" t="s">
        <v>1211</v>
      </c>
      <c r="D95" s="137">
        <v>20000</v>
      </c>
      <c r="E95" s="137">
        <v>297600</v>
      </c>
      <c r="F95" s="167">
        <f t="shared" ref="F95:F197" si="16">D95-E95</f>
        <v>-277600</v>
      </c>
      <c r="G95" s="202">
        <f t="shared" si="13"/>
        <v>297.60000000000002</v>
      </c>
      <c r="H95" s="122"/>
      <c r="I95" s="122"/>
      <c r="J95" s="122"/>
      <c r="K95" s="122"/>
      <c r="L95" s="122"/>
      <c r="M95" s="122"/>
    </row>
    <row r="96" spans="1:13" ht="78.75">
      <c r="A96" s="135" t="s">
        <v>1256</v>
      </c>
      <c r="B96" s="136"/>
      <c r="C96" s="136" t="s">
        <v>1257</v>
      </c>
      <c r="D96" s="137">
        <v>261000</v>
      </c>
      <c r="E96" s="137">
        <v>546500</v>
      </c>
      <c r="F96" s="167">
        <f t="shared" si="16"/>
        <v>-285500</v>
      </c>
      <c r="G96" s="202">
        <f t="shared" si="13"/>
        <v>546.5</v>
      </c>
      <c r="H96" s="122"/>
      <c r="I96" s="122"/>
      <c r="J96" s="122"/>
      <c r="K96" s="122"/>
      <c r="L96" s="122"/>
      <c r="M96" s="122"/>
    </row>
    <row r="97" spans="1:13" ht="31.5">
      <c r="A97" s="135" t="s">
        <v>1216</v>
      </c>
      <c r="B97" s="136"/>
      <c r="C97" s="136" t="s">
        <v>1217</v>
      </c>
      <c r="D97" s="137">
        <v>480000</v>
      </c>
      <c r="E97" s="137">
        <v>560535.62</v>
      </c>
      <c r="F97" s="167">
        <f t="shared" si="16"/>
        <v>-80535.62</v>
      </c>
      <c r="G97" s="202">
        <f t="shared" si="13"/>
        <v>560.5</v>
      </c>
      <c r="H97" s="122"/>
      <c r="I97" s="122"/>
      <c r="J97" s="122"/>
      <c r="K97" s="122"/>
      <c r="L97" s="122"/>
      <c r="M97" s="122"/>
    </row>
    <row r="98" spans="1:13" ht="47.25">
      <c r="A98" s="135" t="s">
        <v>1258</v>
      </c>
      <c r="B98" s="136"/>
      <c r="C98" s="136" t="s">
        <v>1259</v>
      </c>
      <c r="D98" s="141">
        <v>39306200</v>
      </c>
      <c r="E98" s="141">
        <v>39306200</v>
      </c>
      <c r="F98" s="167">
        <f t="shared" si="16"/>
        <v>0</v>
      </c>
      <c r="G98" s="202">
        <f t="shared" si="13"/>
        <v>39306.199999999997</v>
      </c>
      <c r="H98" s="122"/>
      <c r="I98" s="122"/>
      <c r="J98" s="122"/>
      <c r="K98" s="122"/>
      <c r="L98" s="122"/>
      <c r="M98" s="122"/>
    </row>
    <row r="99" spans="1:13" ht="31.5">
      <c r="A99" s="207" t="s">
        <v>1260</v>
      </c>
      <c r="B99" s="136"/>
      <c r="C99" s="136" t="s">
        <v>1261</v>
      </c>
      <c r="D99" s="141">
        <f>6629320+5515700</f>
        <v>12145020</v>
      </c>
      <c r="E99" s="141">
        <v>12145020</v>
      </c>
      <c r="F99" s="167">
        <f t="shared" si="16"/>
        <v>0</v>
      </c>
      <c r="G99" s="202">
        <f t="shared" si="13"/>
        <v>12145</v>
      </c>
      <c r="H99" s="122"/>
      <c r="I99" s="122"/>
      <c r="J99" s="122"/>
      <c r="K99" s="122"/>
      <c r="L99" s="122"/>
      <c r="M99" s="122"/>
    </row>
    <row r="100" spans="1:13" ht="31.5">
      <c r="A100" s="207" t="s">
        <v>1262</v>
      </c>
      <c r="B100" s="136"/>
      <c r="C100" s="136" t="s">
        <v>1263</v>
      </c>
      <c r="D100" s="141">
        <v>600000</v>
      </c>
      <c r="E100" s="141">
        <v>600000</v>
      </c>
      <c r="F100" s="167">
        <f t="shared" si="16"/>
        <v>0</v>
      </c>
      <c r="G100" s="202">
        <f t="shared" si="13"/>
        <v>600</v>
      </c>
      <c r="H100" s="122"/>
      <c r="I100" s="122"/>
      <c r="J100" s="122"/>
      <c r="K100" s="122"/>
      <c r="L100" s="122"/>
      <c r="M100" s="122"/>
    </row>
    <row r="101" spans="1:13" ht="47.25">
      <c r="A101" s="135" t="s">
        <v>1264</v>
      </c>
      <c r="B101" s="136"/>
      <c r="C101" s="136" t="s">
        <v>1265</v>
      </c>
      <c r="D101" s="141">
        <v>167212000</v>
      </c>
      <c r="E101" s="141">
        <v>167212000</v>
      </c>
      <c r="F101" s="167">
        <f t="shared" si="16"/>
        <v>0</v>
      </c>
      <c r="G101" s="202">
        <f t="shared" si="13"/>
        <v>167212</v>
      </c>
      <c r="H101" s="122"/>
      <c r="I101" s="122"/>
      <c r="J101" s="122"/>
      <c r="K101" s="122"/>
      <c r="L101" s="122"/>
      <c r="M101" s="122"/>
    </row>
    <row r="102" spans="1:13" ht="63">
      <c r="A102" s="206" t="s">
        <v>1266</v>
      </c>
      <c r="B102" s="136"/>
      <c r="C102" s="136" t="s">
        <v>1267</v>
      </c>
      <c r="D102" s="141">
        <v>4694000</v>
      </c>
      <c r="E102" s="141">
        <v>4694000</v>
      </c>
      <c r="F102" s="167">
        <f t="shared" si="16"/>
        <v>0</v>
      </c>
      <c r="G102" s="202">
        <f t="shared" si="13"/>
        <v>4694</v>
      </c>
      <c r="H102" s="122"/>
      <c r="I102" s="122"/>
      <c r="J102" s="122"/>
      <c r="K102" s="122"/>
      <c r="L102" s="122"/>
      <c r="M102" s="122"/>
    </row>
    <row r="103" spans="1:13" ht="31.5">
      <c r="A103" s="207" t="s">
        <v>1268</v>
      </c>
      <c r="B103" s="136"/>
      <c r="C103" s="136" t="s">
        <v>1269</v>
      </c>
      <c r="D103" s="141">
        <v>180355200</v>
      </c>
      <c r="E103" s="141">
        <v>180355200</v>
      </c>
      <c r="F103" s="167">
        <f t="shared" si="16"/>
        <v>0</v>
      </c>
      <c r="G103" s="202">
        <f t="shared" si="13"/>
        <v>180355.20000000001</v>
      </c>
      <c r="H103" s="122"/>
      <c r="I103" s="122"/>
      <c r="J103" s="122"/>
      <c r="K103" s="122"/>
      <c r="L103" s="122"/>
      <c r="M103" s="122"/>
    </row>
    <row r="104" spans="1:13" ht="78.75">
      <c r="A104" s="135" t="s">
        <v>1270</v>
      </c>
      <c r="B104" s="136"/>
      <c r="C104" s="136" t="s">
        <v>1271</v>
      </c>
      <c r="D104" s="141">
        <v>50100</v>
      </c>
      <c r="E104" s="141">
        <v>50100</v>
      </c>
      <c r="F104" s="167">
        <f t="shared" si="16"/>
        <v>0</v>
      </c>
      <c r="G104" s="202">
        <f t="shared" si="13"/>
        <v>50.1</v>
      </c>
      <c r="H104" s="122"/>
      <c r="I104" s="122"/>
      <c r="J104" s="122"/>
      <c r="K104" s="122"/>
      <c r="L104" s="122"/>
      <c r="M104" s="122"/>
    </row>
    <row r="105" spans="1:13" ht="63">
      <c r="A105" s="135" t="s">
        <v>1272</v>
      </c>
      <c r="B105" s="136"/>
      <c r="C105" s="136" t="s">
        <v>1273</v>
      </c>
      <c r="D105" s="141">
        <v>4634300</v>
      </c>
      <c r="E105" s="141">
        <v>4634300</v>
      </c>
      <c r="F105" s="167">
        <f t="shared" si="16"/>
        <v>0</v>
      </c>
      <c r="G105" s="202">
        <f t="shared" si="13"/>
        <v>4634.3</v>
      </c>
      <c r="H105" s="122"/>
      <c r="I105" s="122"/>
      <c r="J105" s="122"/>
      <c r="K105" s="122"/>
      <c r="L105" s="122"/>
      <c r="M105" s="122"/>
    </row>
    <row r="106" spans="1:13" ht="110.25">
      <c r="A106" s="135" t="s">
        <v>1274</v>
      </c>
      <c r="B106" s="136"/>
      <c r="C106" s="136" t="s">
        <v>1275</v>
      </c>
      <c r="D106" s="141">
        <v>4778200</v>
      </c>
      <c r="E106" s="141">
        <v>4778200</v>
      </c>
      <c r="F106" s="167">
        <f t="shared" si="16"/>
        <v>0</v>
      </c>
      <c r="G106" s="202">
        <f t="shared" si="13"/>
        <v>4778.2</v>
      </c>
      <c r="H106" s="122"/>
      <c r="I106" s="122"/>
      <c r="J106" s="122"/>
      <c r="K106" s="122"/>
      <c r="L106" s="122"/>
      <c r="M106" s="122"/>
    </row>
    <row r="107" spans="1:13" ht="126">
      <c r="A107" s="210" t="s">
        <v>1276</v>
      </c>
      <c r="B107" s="136"/>
      <c r="C107" s="136" t="s">
        <v>1277</v>
      </c>
      <c r="D107" s="141">
        <v>400000</v>
      </c>
      <c r="E107" s="141">
        <v>400000</v>
      </c>
      <c r="F107" s="167">
        <f t="shared" si="16"/>
        <v>0</v>
      </c>
      <c r="G107" s="202">
        <f t="shared" si="13"/>
        <v>400</v>
      </c>
      <c r="H107" s="122"/>
      <c r="I107" s="122"/>
      <c r="J107" s="122"/>
      <c r="K107" s="122"/>
      <c r="L107" s="122"/>
      <c r="M107" s="122"/>
    </row>
    <row r="108" spans="1:13" ht="47.25">
      <c r="A108" s="206" t="s">
        <v>1278</v>
      </c>
      <c r="B108" s="136"/>
      <c r="C108" s="136" t="s">
        <v>1279</v>
      </c>
      <c r="D108" s="141"/>
      <c r="E108" s="141">
        <v>1000</v>
      </c>
      <c r="F108" s="167">
        <f t="shared" si="16"/>
        <v>-1000</v>
      </c>
      <c r="G108" s="202">
        <f t="shared" si="13"/>
        <v>1</v>
      </c>
      <c r="H108" s="122"/>
      <c r="I108" s="122"/>
      <c r="J108" s="122"/>
      <c r="K108" s="122"/>
      <c r="L108" s="122"/>
      <c r="M108" s="122"/>
    </row>
    <row r="109" spans="1:13" ht="31.5">
      <c r="A109" s="207" t="s">
        <v>1280</v>
      </c>
      <c r="B109" s="136"/>
      <c r="C109" s="136" t="s">
        <v>1281</v>
      </c>
      <c r="D109" s="137">
        <v>15000</v>
      </c>
      <c r="E109" s="137">
        <v>15000</v>
      </c>
      <c r="F109" s="167">
        <f t="shared" si="16"/>
        <v>0</v>
      </c>
      <c r="G109" s="202">
        <f t="shared" si="13"/>
        <v>15</v>
      </c>
      <c r="H109" s="122"/>
      <c r="I109" s="122"/>
      <c r="J109" s="122"/>
      <c r="K109" s="122"/>
      <c r="L109" s="122"/>
      <c r="M109" s="122"/>
    </row>
    <row r="110" spans="1:13" ht="47.25">
      <c r="A110" s="207" t="s">
        <v>1238</v>
      </c>
      <c r="B110" s="136"/>
      <c r="C110" s="136" t="s">
        <v>1239</v>
      </c>
      <c r="D110" s="141">
        <v>24621.33</v>
      </c>
      <c r="E110" s="141">
        <v>24621.33</v>
      </c>
      <c r="F110" s="167">
        <f t="shared" si="16"/>
        <v>0</v>
      </c>
      <c r="G110" s="202">
        <f t="shared" si="13"/>
        <v>24.6</v>
      </c>
      <c r="H110" s="122"/>
      <c r="I110" s="122"/>
      <c r="J110" s="122"/>
      <c r="K110" s="122"/>
      <c r="L110" s="122"/>
      <c r="M110" s="122"/>
    </row>
    <row r="111" spans="1:13" ht="47.25">
      <c r="A111" s="210" t="s">
        <v>1282</v>
      </c>
      <c r="B111" s="136"/>
      <c r="C111" s="136" t="s">
        <v>1283</v>
      </c>
      <c r="D111" s="141">
        <f>3300</f>
        <v>3300</v>
      </c>
      <c r="E111" s="141">
        <v>3300</v>
      </c>
      <c r="F111" s="167">
        <f t="shared" si="16"/>
        <v>0</v>
      </c>
      <c r="G111" s="202">
        <f t="shared" si="13"/>
        <v>3.3</v>
      </c>
      <c r="H111" s="122"/>
      <c r="I111" s="122"/>
      <c r="J111" s="122"/>
      <c r="K111" s="122"/>
      <c r="L111" s="122"/>
      <c r="M111" s="122"/>
    </row>
    <row r="112" spans="1:13" ht="78.75">
      <c r="A112" s="135" t="s">
        <v>1240</v>
      </c>
      <c r="B112" s="136"/>
      <c r="C112" s="136" t="s">
        <v>1284</v>
      </c>
      <c r="D112" s="141">
        <v>3806324</v>
      </c>
      <c r="E112" s="141">
        <v>3806324</v>
      </c>
      <c r="F112" s="167">
        <f t="shared" si="16"/>
        <v>0</v>
      </c>
      <c r="G112" s="202">
        <f t="shared" si="13"/>
        <v>3806.3</v>
      </c>
      <c r="H112" s="122"/>
      <c r="I112" s="122"/>
      <c r="J112" s="122"/>
      <c r="K112" s="122"/>
      <c r="L112" s="122"/>
      <c r="M112" s="122"/>
    </row>
    <row r="113" spans="1:13" ht="78.75">
      <c r="A113" s="135" t="s">
        <v>1285</v>
      </c>
      <c r="B113" s="136"/>
      <c r="C113" s="136" t="s">
        <v>1286</v>
      </c>
      <c r="D113" s="141">
        <v>17095968.02</v>
      </c>
      <c r="E113" s="141">
        <v>17095968.02</v>
      </c>
      <c r="F113" s="167">
        <f t="shared" si="16"/>
        <v>0</v>
      </c>
      <c r="G113" s="202">
        <f t="shared" si="13"/>
        <v>17096</v>
      </c>
      <c r="H113" s="122"/>
      <c r="I113" s="122"/>
      <c r="J113" s="122"/>
      <c r="K113" s="122"/>
      <c r="L113" s="122"/>
      <c r="M113" s="122"/>
    </row>
    <row r="114" spans="1:13" ht="63">
      <c r="A114" s="135" t="s">
        <v>1244</v>
      </c>
      <c r="B114" s="136"/>
      <c r="C114" s="136" t="s">
        <v>1245</v>
      </c>
      <c r="D114" s="141">
        <v>-6860168.3499999996</v>
      </c>
      <c r="E114" s="141">
        <v>-6860168.3499999996</v>
      </c>
      <c r="F114" s="167">
        <f t="shared" si="16"/>
        <v>0</v>
      </c>
      <c r="G114" s="202">
        <f t="shared" si="13"/>
        <v>-6860.2</v>
      </c>
      <c r="H114" s="122"/>
      <c r="I114" s="122"/>
      <c r="J114" s="122"/>
      <c r="K114" s="122"/>
      <c r="L114" s="122"/>
      <c r="M114" s="122"/>
    </row>
    <row r="115" spans="1:13" s="114" customFormat="1" ht="31.5">
      <c r="A115" s="135" t="s">
        <v>1287</v>
      </c>
      <c r="B115" s="136" t="s">
        <v>504</v>
      </c>
      <c r="C115" s="139"/>
      <c r="D115" s="141">
        <f>SUM(D116:D118)</f>
        <v>70000</v>
      </c>
      <c r="E115" s="141">
        <f>SUM(E116:E118)</f>
        <v>172605.46</v>
      </c>
      <c r="F115" s="169">
        <f t="shared" ref="F115:G115" si="17">SUM(F116:F118)</f>
        <v>-102605.46</v>
      </c>
      <c r="G115" s="205">
        <f t="shared" si="17"/>
        <v>172.7</v>
      </c>
      <c r="H115" s="116"/>
      <c r="I115" s="116"/>
      <c r="J115" s="116"/>
      <c r="K115" s="116"/>
      <c r="L115" s="116"/>
      <c r="M115" s="116"/>
    </row>
    <row r="116" spans="1:13" ht="63">
      <c r="A116" s="135" t="s">
        <v>1214</v>
      </c>
      <c r="B116" s="136"/>
      <c r="C116" s="136" t="s">
        <v>1215</v>
      </c>
      <c r="D116" s="137">
        <v>70000</v>
      </c>
      <c r="E116" s="137">
        <v>141279.51999999999</v>
      </c>
      <c r="F116" s="167">
        <f t="shared" si="16"/>
        <v>-71279.520000000004</v>
      </c>
      <c r="G116" s="202">
        <f t="shared" si="13"/>
        <v>141.30000000000001</v>
      </c>
      <c r="H116" s="122"/>
      <c r="I116" s="122"/>
      <c r="J116" s="122"/>
      <c r="K116" s="122"/>
      <c r="L116" s="122"/>
      <c r="M116" s="122"/>
    </row>
    <row r="117" spans="1:13" ht="31.5">
      <c r="A117" s="135" t="s">
        <v>1288</v>
      </c>
      <c r="B117" s="136"/>
      <c r="C117" s="136" t="s">
        <v>1289</v>
      </c>
      <c r="D117" s="137"/>
      <c r="E117" s="137">
        <v>11953.38</v>
      </c>
      <c r="F117" s="167">
        <f t="shared" si="16"/>
        <v>-11953.38</v>
      </c>
      <c r="G117" s="202">
        <f t="shared" si="13"/>
        <v>12</v>
      </c>
      <c r="H117" s="122"/>
      <c r="I117" s="122"/>
      <c r="J117" s="122"/>
      <c r="K117" s="122"/>
      <c r="L117" s="122"/>
      <c r="M117" s="122"/>
    </row>
    <row r="118" spans="1:13" ht="31.5">
      <c r="A118" s="135" t="s">
        <v>1216</v>
      </c>
      <c r="B118" s="136"/>
      <c r="C118" s="136" t="s">
        <v>1217</v>
      </c>
      <c r="D118" s="137"/>
      <c r="E118" s="137">
        <v>19372.560000000001</v>
      </c>
      <c r="F118" s="167">
        <f t="shared" si="16"/>
        <v>-19372.560000000001</v>
      </c>
      <c r="G118" s="202">
        <f t="shared" si="13"/>
        <v>19.399999999999999</v>
      </c>
      <c r="H118" s="122"/>
      <c r="I118" s="122"/>
      <c r="J118" s="122"/>
      <c r="K118" s="122"/>
      <c r="L118" s="122"/>
      <c r="M118" s="122"/>
    </row>
    <row r="119" spans="1:13" s="114" customFormat="1" ht="31.5">
      <c r="A119" s="135" t="s">
        <v>102</v>
      </c>
      <c r="B119" s="136" t="s">
        <v>505</v>
      </c>
      <c r="C119" s="139"/>
      <c r="D119" s="141">
        <f>SUM(D120:D150)</f>
        <v>404443955.69999999</v>
      </c>
      <c r="E119" s="141">
        <f>SUM(E120:E150)</f>
        <v>404300150.75999999</v>
      </c>
      <c r="F119" s="169">
        <f t="shared" ref="F119:G119" si="18">SUM(F120:F150)</f>
        <v>143804.94</v>
      </c>
      <c r="G119" s="205">
        <f t="shared" si="18"/>
        <v>404300</v>
      </c>
      <c r="H119" s="116"/>
      <c r="I119" s="116"/>
      <c r="J119" s="116"/>
      <c r="K119" s="116"/>
      <c r="L119" s="116"/>
      <c r="M119" s="116"/>
    </row>
    <row r="120" spans="1:13" ht="47.25">
      <c r="A120" s="135" t="s">
        <v>1290</v>
      </c>
      <c r="B120" s="136"/>
      <c r="C120" s="136" t="s">
        <v>1291</v>
      </c>
      <c r="D120" s="137">
        <v>235000</v>
      </c>
      <c r="E120" s="137">
        <v>265035.88</v>
      </c>
      <c r="F120" s="167">
        <f t="shared" si="16"/>
        <v>-30035.88</v>
      </c>
      <c r="G120" s="202">
        <f t="shared" si="13"/>
        <v>265</v>
      </c>
      <c r="H120" s="122"/>
      <c r="I120" s="122"/>
      <c r="J120" s="122"/>
      <c r="K120" s="122"/>
      <c r="L120" s="122"/>
      <c r="M120" s="122"/>
    </row>
    <row r="121" spans="1:13" ht="110.25">
      <c r="A121" s="211" t="s">
        <v>1292</v>
      </c>
      <c r="B121" s="136"/>
      <c r="C121" s="136" t="s">
        <v>1293</v>
      </c>
      <c r="D121" s="137"/>
      <c r="E121" s="137">
        <v>306000</v>
      </c>
      <c r="F121" s="167">
        <f t="shared" si="16"/>
        <v>-306000</v>
      </c>
      <c r="G121" s="202">
        <f t="shared" si="13"/>
        <v>306</v>
      </c>
      <c r="H121" s="122"/>
      <c r="I121" s="122"/>
      <c r="J121" s="122"/>
      <c r="K121" s="122"/>
      <c r="L121" s="122"/>
      <c r="M121" s="122"/>
    </row>
    <row r="122" spans="1:13" ht="47.25">
      <c r="A122" s="135" t="s">
        <v>1294</v>
      </c>
      <c r="B122" s="136"/>
      <c r="C122" s="136" t="s">
        <v>1295</v>
      </c>
      <c r="D122" s="137">
        <v>300000</v>
      </c>
      <c r="E122" s="137">
        <v>169497.91</v>
      </c>
      <c r="F122" s="167">
        <f>D122-E122</f>
        <v>130502.09</v>
      </c>
      <c r="G122" s="202">
        <f t="shared" si="13"/>
        <v>169.5</v>
      </c>
      <c r="H122" s="122"/>
      <c r="I122" s="122"/>
      <c r="J122" s="122"/>
      <c r="K122" s="122"/>
      <c r="L122" s="122"/>
      <c r="M122" s="122"/>
    </row>
    <row r="123" spans="1:13" ht="63">
      <c r="A123" s="135" t="s">
        <v>1214</v>
      </c>
      <c r="B123" s="136"/>
      <c r="C123" s="136" t="s">
        <v>1215</v>
      </c>
      <c r="D123" s="137">
        <v>176000</v>
      </c>
      <c r="E123" s="137">
        <v>194897.34</v>
      </c>
      <c r="F123" s="167">
        <f t="shared" si="16"/>
        <v>-18897.34</v>
      </c>
      <c r="G123" s="202">
        <f t="shared" si="13"/>
        <v>194.9</v>
      </c>
      <c r="H123" s="122"/>
      <c r="I123" s="122"/>
      <c r="J123" s="122"/>
      <c r="K123" s="122"/>
      <c r="L123" s="122"/>
      <c r="M123" s="122"/>
    </row>
    <row r="124" spans="1:13" ht="31.5">
      <c r="A124" s="135" t="s">
        <v>1288</v>
      </c>
      <c r="B124" s="136"/>
      <c r="C124" s="136" t="s">
        <v>1289</v>
      </c>
      <c r="D124" s="137"/>
      <c r="E124" s="137">
        <v>29433</v>
      </c>
      <c r="F124" s="167">
        <f t="shared" si="16"/>
        <v>-29433</v>
      </c>
      <c r="G124" s="202">
        <f t="shared" si="13"/>
        <v>29.4</v>
      </c>
      <c r="H124" s="122"/>
      <c r="I124" s="122"/>
      <c r="J124" s="122"/>
      <c r="K124" s="122"/>
      <c r="L124" s="122"/>
      <c r="M124" s="122"/>
    </row>
    <row r="125" spans="1:13" ht="31.5">
      <c r="A125" s="135" t="s">
        <v>1216</v>
      </c>
      <c r="B125" s="136"/>
      <c r="C125" s="136" t="s">
        <v>1217</v>
      </c>
      <c r="D125" s="137">
        <v>8021000</v>
      </c>
      <c r="E125" s="137">
        <v>7109905.9299999997</v>
      </c>
      <c r="F125" s="167">
        <f t="shared" si="16"/>
        <v>911094.07</v>
      </c>
      <c r="G125" s="202">
        <f t="shared" si="13"/>
        <v>7109.9</v>
      </c>
      <c r="H125" s="122"/>
      <c r="I125" s="122"/>
      <c r="J125" s="122"/>
      <c r="K125" s="122"/>
      <c r="L125" s="122"/>
      <c r="M125" s="122"/>
    </row>
    <row r="126" spans="1:13" ht="94.5">
      <c r="A126" s="207" t="s">
        <v>1296</v>
      </c>
      <c r="B126" s="136"/>
      <c r="C126" s="136" t="s">
        <v>1297</v>
      </c>
      <c r="D126" s="141">
        <v>67543000</v>
      </c>
      <c r="E126" s="141">
        <v>67543000</v>
      </c>
      <c r="F126" s="167">
        <f t="shared" si="16"/>
        <v>0</v>
      </c>
      <c r="G126" s="202">
        <f t="shared" si="13"/>
        <v>67543</v>
      </c>
      <c r="H126" s="122"/>
      <c r="I126" s="122"/>
      <c r="J126" s="122"/>
      <c r="K126" s="122"/>
      <c r="L126" s="122"/>
      <c r="M126" s="122"/>
    </row>
    <row r="127" spans="1:13" ht="63">
      <c r="A127" s="207" t="s">
        <v>1298</v>
      </c>
      <c r="B127" s="136"/>
      <c r="C127" s="136" t="s">
        <v>1299</v>
      </c>
      <c r="D127" s="141">
        <v>25714000</v>
      </c>
      <c r="E127" s="141">
        <v>25714000</v>
      </c>
      <c r="F127" s="167">
        <f t="shared" si="16"/>
        <v>0</v>
      </c>
      <c r="G127" s="202">
        <f t="shared" si="13"/>
        <v>25714</v>
      </c>
      <c r="H127" s="122"/>
      <c r="I127" s="122"/>
      <c r="J127" s="122"/>
      <c r="K127" s="122"/>
      <c r="L127" s="122"/>
      <c r="M127" s="122"/>
    </row>
    <row r="128" spans="1:13" ht="47.25">
      <c r="A128" s="206" t="s">
        <v>1300</v>
      </c>
      <c r="B128" s="136"/>
      <c r="C128" s="136" t="s">
        <v>1301</v>
      </c>
      <c r="D128" s="141">
        <v>149400</v>
      </c>
      <c r="E128" s="141">
        <v>149400</v>
      </c>
      <c r="F128" s="167">
        <f t="shared" si="16"/>
        <v>0</v>
      </c>
      <c r="G128" s="202">
        <f t="shared" si="13"/>
        <v>149.4</v>
      </c>
      <c r="H128" s="122"/>
      <c r="I128" s="122"/>
      <c r="J128" s="122"/>
      <c r="K128" s="122"/>
      <c r="L128" s="122"/>
      <c r="M128" s="122"/>
    </row>
    <row r="129" spans="1:13" ht="63">
      <c r="A129" s="138" t="s">
        <v>1302</v>
      </c>
      <c r="B129" s="136"/>
      <c r="C129" s="136" t="s">
        <v>1303</v>
      </c>
      <c r="D129" s="141">
        <v>200300</v>
      </c>
      <c r="E129" s="141">
        <v>200300</v>
      </c>
      <c r="F129" s="167">
        <f t="shared" si="16"/>
        <v>0</v>
      </c>
      <c r="G129" s="202">
        <f t="shared" si="13"/>
        <v>200.3</v>
      </c>
      <c r="H129" s="122"/>
      <c r="I129" s="122"/>
      <c r="J129" s="122"/>
      <c r="K129" s="122"/>
      <c r="L129" s="122"/>
      <c r="M129" s="122"/>
    </row>
    <row r="130" spans="1:13" ht="63">
      <c r="A130" s="138" t="s">
        <v>1304</v>
      </c>
      <c r="B130" s="136"/>
      <c r="C130" s="136" t="s">
        <v>1305</v>
      </c>
      <c r="D130" s="141">
        <v>2939700</v>
      </c>
      <c r="E130" s="141">
        <v>2939700</v>
      </c>
      <c r="F130" s="167">
        <f t="shared" si="16"/>
        <v>0</v>
      </c>
      <c r="G130" s="202">
        <f t="shared" si="13"/>
        <v>2939.7</v>
      </c>
      <c r="H130" s="122"/>
      <c r="I130" s="122"/>
      <c r="J130" s="122"/>
      <c r="K130" s="122"/>
      <c r="L130" s="122"/>
      <c r="M130" s="122"/>
    </row>
    <row r="131" spans="1:13" ht="78.75">
      <c r="A131" s="138" t="s">
        <v>1306</v>
      </c>
      <c r="B131" s="136"/>
      <c r="C131" s="136" t="s">
        <v>1307</v>
      </c>
      <c r="D131" s="141">
        <v>1881000</v>
      </c>
      <c r="E131" s="141">
        <v>1881000</v>
      </c>
      <c r="F131" s="167">
        <f t="shared" si="16"/>
        <v>0</v>
      </c>
      <c r="G131" s="202">
        <f t="shared" si="13"/>
        <v>1881</v>
      </c>
      <c r="H131" s="122"/>
      <c r="I131" s="122"/>
      <c r="J131" s="122"/>
      <c r="K131" s="122"/>
      <c r="L131" s="122"/>
      <c r="M131" s="122"/>
    </row>
    <row r="132" spans="1:13" ht="94.5">
      <c r="A132" s="138" t="s">
        <v>1308</v>
      </c>
      <c r="B132" s="136"/>
      <c r="C132" s="136" t="s">
        <v>1309</v>
      </c>
      <c r="D132" s="141">
        <v>1827600</v>
      </c>
      <c r="E132" s="141">
        <v>1827600</v>
      </c>
      <c r="F132" s="167">
        <f t="shared" si="16"/>
        <v>0</v>
      </c>
      <c r="G132" s="202">
        <f t="shared" si="13"/>
        <v>1827.6</v>
      </c>
      <c r="H132" s="122"/>
      <c r="I132" s="122"/>
      <c r="J132" s="122"/>
      <c r="K132" s="122"/>
      <c r="L132" s="122"/>
      <c r="M132" s="122"/>
    </row>
    <row r="133" spans="1:13" ht="63">
      <c r="A133" s="138" t="s">
        <v>1310</v>
      </c>
      <c r="B133" s="136"/>
      <c r="C133" s="136" t="s">
        <v>1311</v>
      </c>
      <c r="D133" s="141">
        <v>27408000</v>
      </c>
      <c r="E133" s="141">
        <v>27408000</v>
      </c>
      <c r="F133" s="167">
        <f t="shared" si="16"/>
        <v>0</v>
      </c>
      <c r="G133" s="202">
        <f t="shared" si="13"/>
        <v>27408</v>
      </c>
      <c r="H133" s="122"/>
      <c r="I133" s="122"/>
      <c r="J133" s="122"/>
      <c r="K133" s="122"/>
      <c r="L133" s="122"/>
      <c r="M133" s="122"/>
    </row>
    <row r="134" spans="1:13" ht="47.25">
      <c r="A134" s="138" t="s">
        <v>1312</v>
      </c>
      <c r="B134" s="136"/>
      <c r="C134" s="136" t="s">
        <v>1313</v>
      </c>
      <c r="D134" s="141">
        <v>23884000</v>
      </c>
      <c r="E134" s="141">
        <v>23884000</v>
      </c>
      <c r="F134" s="167">
        <f t="shared" si="16"/>
        <v>0</v>
      </c>
      <c r="G134" s="202">
        <f t="shared" si="13"/>
        <v>23884</v>
      </c>
      <c r="H134" s="122"/>
      <c r="I134" s="122"/>
      <c r="J134" s="122"/>
      <c r="K134" s="122"/>
      <c r="L134" s="122"/>
      <c r="M134" s="122"/>
    </row>
    <row r="135" spans="1:13" ht="47.25">
      <c r="A135" s="138" t="s">
        <v>1314</v>
      </c>
      <c r="B135" s="136"/>
      <c r="C135" s="136" t="s">
        <v>1315</v>
      </c>
      <c r="D135" s="141">
        <v>8404900</v>
      </c>
      <c r="E135" s="141">
        <v>8404900</v>
      </c>
      <c r="F135" s="167">
        <f t="shared" si="16"/>
        <v>0</v>
      </c>
      <c r="G135" s="202">
        <f t="shared" si="13"/>
        <v>8404.9</v>
      </c>
      <c r="H135" s="122"/>
      <c r="I135" s="122"/>
      <c r="J135" s="122"/>
      <c r="K135" s="122"/>
      <c r="L135" s="122"/>
      <c r="M135" s="122"/>
    </row>
    <row r="136" spans="1:13" ht="47.25">
      <c r="A136" s="138" t="s">
        <v>1316</v>
      </c>
      <c r="B136" s="136"/>
      <c r="C136" s="136" t="s">
        <v>1317</v>
      </c>
      <c r="D136" s="141">
        <v>17236300</v>
      </c>
      <c r="E136" s="141">
        <v>17236300</v>
      </c>
      <c r="F136" s="167">
        <f t="shared" si="16"/>
        <v>0</v>
      </c>
      <c r="G136" s="202">
        <f t="shared" si="13"/>
        <v>17236.3</v>
      </c>
      <c r="H136" s="122"/>
      <c r="I136" s="122"/>
      <c r="J136" s="122"/>
      <c r="K136" s="122"/>
      <c r="L136" s="122"/>
      <c r="M136" s="122"/>
    </row>
    <row r="137" spans="1:13" ht="63">
      <c r="A137" s="138" t="s">
        <v>1318</v>
      </c>
      <c r="B137" s="136"/>
      <c r="C137" s="136" t="s">
        <v>1319</v>
      </c>
      <c r="D137" s="141">
        <v>30013300</v>
      </c>
      <c r="E137" s="141">
        <v>30013300</v>
      </c>
      <c r="F137" s="167">
        <f t="shared" si="16"/>
        <v>0</v>
      </c>
      <c r="G137" s="202">
        <f t="shared" si="13"/>
        <v>30013.3</v>
      </c>
      <c r="H137" s="122"/>
      <c r="I137" s="122"/>
      <c r="J137" s="122"/>
      <c r="K137" s="122"/>
      <c r="L137" s="122"/>
      <c r="M137" s="122"/>
    </row>
    <row r="138" spans="1:13" ht="47.25">
      <c r="A138" s="206" t="s">
        <v>1320</v>
      </c>
      <c r="B138" s="136"/>
      <c r="C138" s="136" t="s">
        <v>1321</v>
      </c>
      <c r="D138" s="141">
        <v>3312000</v>
      </c>
      <c r="E138" s="141">
        <v>3312000</v>
      </c>
      <c r="F138" s="167">
        <f t="shared" si="16"/>
        <v>0</v>
      </c>
      <c r="G138" s="202">
        <f t="shared" si="13"/>
        <v>3312</v>
      </c>
      <c r="H138" s="122"/>
      <c r="I138" s="122"/>
      <c r="J138" s="122"/>
      <c r="K138" s="122"/>
      <c r="L138" s="122"/>
      <c r="M138" s="122"/>
    </row>
    <row r="139" spans="1:13" ht="78.75">
      <c r="A139" s="138" t="s">
        <v>1322</v>
      </c>
      <c r="B139" s="136"/>
      <c r="C139" s="136" t="s">
        <v>1323</v>
      </c>
      <c r="D139" s="141">
        <v>2655200</v>
      </c>
      <c r="E139" s="141">
        <v>2655200</v>
      </c>
      <c r="F139" s="167">
        <f t="shared" si="16"/>
        <v>0</v>
      </c>
      <c r="G139" s="202">
        <f t="shared" ref="G139:G202" si="19">E139/1000</f>
        <v>2655.2</v>
      </c>
      <c r="H139" s="122"/>
      <c r="I139" s="122"/>
      <c r="J139" s="122"/>
      <c r="K139" s="122"/>
      <c r="L139" s="122"/>
      <c r="M139" s="122"/>
    </row>
    <row r="140" spans="1:13" ht="94.5">
      <c r="A140" s="138" t="s">
        <v>1324</v>
      </c>
      <c r="B140" s="136"/>
      <c r="C140" s="136" t="s">
        <v>1325</v>
      </c>
      <c r="D140" s="141">
        <v>4607300</v>
      </c>
      <c r="E140" s="141">
        <v>4607300</v>
      </c>
      <c r="F140" s="167">
        <f t="shared" si="16"/>
        <v>0</v>
      </c>
      <c r="G140" s="202">
        <f t="shared" si="19"/>
        <v>4607.3</v>
      </c>
      <c r="H140" s="122"/>
      <c r="I140" s="122"/>
      <c r="J140" s="122"/>
      <c r="K140" s="122"/>
      <c r="L140" s="122"/>
      <c r="M140" s="122"/>
    </row>
    <row r="141" spans="1:13" ht="47.25">
      <c r="A141" s="138" t="s">
        <v>1326</v>
      </c>
      <c r="B141" s="136"/>
      <c r="C141" s="136" t="s">
        <v>1327</v>
      </c>
      <c r="D141" s="141">
        <v>8551500</v>
      </c>
      <c r="E141" s="141">
        <v>8551500</v>
      </c>
      <c r="F141" s="167">
        <f t="shared" si="16"/>
        <v>0</v>
      </c>
      <c r="G141" s="202">
        <f t="shared" si="19"/>
        <v>8551.5</v>
      </c>
      <c r="H141" s="122"/>
      <c r="I141" s="122"/>
      <c r="J141" s="122"/>
      <c r="K141" s="122"/>
      <c r="L141" s="122"/>
      <c r="M141" s="122"/>
    </row>
    <row r="142" spans="1:13" ht="63">
      <c r="A142" s="207" t="s">
        <v>1328</v>
      </c>
      <c r="B142" s="136"/>
      <c r="C142" s="136" t="s">
        <v>1329</v>
      </c>
      <c r="D142" s="141">
        <v>27131000</v>
      </c>
      <c r="E142" s="141">
        <v>27131000</v>
      </c>
      <c r="F142" s="167">
        <f t="shared" si="16"/>
        <v>0</v>
      </c>
      <c r="G142" s="202">
        <f t="shared" si="19"/>
        <v>27131</v>
      </c>
      <c r="H142" s="122"/>
      <c r="I142" s="122"/>
      <c r="J142" s="122"/>
      <c r="K142" s="122"/>
      <c r="L142" s="122"/>
      <c r="M142" s="122"/>
    </row>
    <row r="143" spans="1:13" ht="31.5">
      <c r="A143" s="207" t="s">
        <v>1330</v>
      </c>
      <c r="B143" s="136"/>
      <c r="C143" s="136" t="s">
        <v>1331</v>
      </c>
      <c r="D143" s="141">
        <v>22871000</v>
      </c>
      <c r="E143" s="141">
        <v>22871000</v>
      </c>
      <c r="F143" s="167">
        <f t="shared" si="16"/>
        <v>0</v>
      </c>
      <c r="G143" s="202">
        <f t="shared" si="19"/>
        <v>22871</v>
      </c>
      <c r="H143" s="122"/>
      <c r="I143" s="122"/>
      <c r="J143" s="122"/>
      <c r="K143" s="122"/>
      <c r="L143" s="122"/>
      <c r="M143" s="122"/>
    </row>
    <row r="144" spans="1:13" ht="47.25">
      <c r="A144" s="207" t="s">
        <v>1332</v>
      </c>
      <c r="B144" s="136"/>
      <c r="C144" s="136" t="s">
        <v>1333</v>
      </c>
      <c r="D144" s="141">
        <v>18536000</v>
      </c>
      <c r="E144" s="141">
        <v>18536000</v>
      </c>
      <c r="F144" s="167">
        <f t="shared" si="16"/>
        <v>0</v>
      </c>
      <c r="G144" s="202">
        <f t="shared" si="19"/>
        <v>18536</v>
      </c>
      <c r="H144" s="122"/>
      <c r="I144" s="122"/>
      <c r="J144" s="122"/>
      <c r="K144" s="122"/>
      <c r="L144" s="122"/>
      <c r="M144" s="122"/>
    </row>
    <row r="145" spans="1:13" ht="63">
      <c r="A145" s="138" t="s">
        <v>1334</v>
      </c>
      <c r="B145" s="136"/>
      <c r="C145" s="136" t="s">
        <v>1335</v>
      </c>
      <c r="D145" s="141">
        <v>97362000</v>
      </c>
      <c r="E145" s="141">
        <v>97362000</v>
      </c>
      <c r="F145" s="167">
        <f t="shared" si="16"/>
        <v>0</v>
      </c>
      <c r="G145" s="202">
        <f t="shared" si="19"/>
        <v>97362</v>
      </c>
      <c r="H145" s="122"/>
      <c r="I145" s="122"/>
      <c r="J145" s="122"/>
      <c r="K145" s="122"/>
      <c r="L145" s="122"/>
      <c r="M145" s="122"/>
    </row>
    <row r="146" spans="1:13" ht="110.25">
      <c r="A146" s="207" t="s">
        <v>1336</v>
      </c>
      <c r="B146" s="136"/>
      <c r="C146" s="136" t="s">
        <v>1337</v>
      </c>
      <c r="D146" s="141">
        <v>2064300</v>
      </c>
      <c r="E146" s="141">
        <v>2064300</v>
      </c>
      <c r="F146" s="167">
        <f t="shared" si="16"/>
        <v>0</v>
      </c>
      <c r="G146" s="202">
        <f t="shared" si="19"/>
        <v>2064.3000000000002</v>
      </c>
      <c r="H146" s="122"/>
      <c r="I146" s="122"/>
      <c r="J146" s="122"/>
      <c r="K146" s="122"/>
      <c r="L146" s="122"/>
      <c r="M146" s="122"/>
    </row>
    <row r="147" spans="1:13" ht="94.5">
      <c r="A147" s="212" t="s">
        <v>1338</v>
      </c>
      <c r="B147" s="136"/>
      <c r="C147" s="136" t="s">
        <v>1339</v>
      </c>
      <c r="D147" s="141">
        <v>93600</v>
      </c>
      <c r="E147" s="141">
        <v>93600</v>
      </c>
      <c r="F147" s="167">
        <f t="shared" si="16"/>
        <v>0</v>
      </c>
      <c r="G147" s="202">
        <f t="shared" si="19"/>
        <v>93.6</v>
      </c>
      <c r="H147" s="122"/>
      <c r="I147" s="122"/>
      <c r="J147" s="122"/>
      <c r="K147" s="122"/>
      <c r="L147" s="122"/>
      <c r="M147" s="122"/>
    </row>
    <row r="148" spans="1:13" ht="47.25">
      <c r="A148" s="138" t="s">
        <v>1340</v>
      </c>
      <c r="B148" s="136"/>
      <c r="C148" s="136" t="s">
        <v>1241</v>
      </c>
      <c r="D148" s="141">
        <f>1019440</f>
        <v>1019440</v>
      </c>
      <c r="E148" s="141">
        <v>1019440</v>
      </c>
      <c r="F148" s="167">
        <f t="shared" si="16"/>
        <v>0</v>
      </c>
      <c r="G148" s="202">
        <f t="shared" si="19"/>
        <v>1019.4</v>
      </c>
      <c r="H148" s="122"/>
      <c r="I148" s="122"/>
      <c r="J148" s="122"/>
      <c r="K148" s="122"/>
      <c r="L148" s="122"/>
      <c r="M148" s="122"/>
    </row>
    <row r="149" spans="1:13" ht="78.75">
      <c r="A149" s="135" t="s">
        <v>1285</v>
      </c>
      <c r="B149" s="136"/>
      <c r="C149" s="136" t="s">
        <v>1286</v>
      </c>
      <c r="D149" s="141">
        <v>820540.7</v>
      </c>
      <c r="E149" s="141">
        <v>820540.7</v>
      </c>
      <c r="F149" s="167">
        <f t="shared" si="16"/>
        <v>0</v>
      </c>
      <c r="G149" s="202">
        <f t="shared" si="19"/>
        <v>820.5</v>
      </c>
      <c r="H149" s="122"/>
      <c r="I149" s="122"/>
      <c r="J149" s="122"/>
      <c r="K149" s="122"/>
      <c r="L149" s="122"/>
      <c r="M149" s="122"/>
    </row>
    <row r="150" spans="1:13" ht="63">
      <c r="A150" s="135" t="s">
        <v>1244</v>
      </c>
      <c r="B150" s="136"/>
      <c r="C150" s="136" t="s">
        <v>1245</v>
      </c>
      <c r="D150" s="141">
        <v>-513425</v>
      </c>
      <c r="E150" s="141"/>
      <c r="F150" s="167">
        <f t="shared" si="16"/>
        <v>-513425</v>
      </c>
      <c r="G150" s="202">
        <f t="shared" si="19"/>
        <v>0</v>
      </c>
      <c r="H150" s="122"/>
      <c r="I150" s="122"/>
      <c r="J150" s="122"/>
      <c r="K150" s="122"/>
      <c r="L150" s="122"/>
      <c r="M150" s="122"/>
    </row>
    <row r="151" spans="1:13" s="114" customFormat="1">
      <c r="A151" s="135" t="s">
        <v>1341</v>
      </c>
      <c r="B151" s="136" t="s">
        <v>506</v>
      </c>
      <c r="C151" s="139"/>
      <c r="D151" s="141">
        <f>SUM(D152:D163)</f>
        <v>7553932403.5299997</v>
      </c>
      <c r="E151" s="141">
        <f>SUM(E152:E163)</f>
        <v>7553568302.0200005</v>
      </c>
      <c r="F151" s="169">
        <f t="shared" ref="F151:G151" si="20">SUM(F152:F163)</f>
        <v>364101.51</v>
      </c>
      <c r="G151" s="205">
        <f t="shared" si="20"/>
        <v>7553568.4000000004</v>
      </c>
      <c r="H151" s="116"/>
      <c r="I151" s="116"/>
      <c r="J151" s="116"/>
      <c r="K151" s="116"/>
      <c r="L151" s="116"/>
      <c r="M151" s="116"/>
    </row>
    <row r="152" spans="1:13" ht="47.25">
      <c r="A152" s="135" t="s">
        <v>1290</v>
      </c>
      <c r="B152" s="136"/>
      <c r="C152" s="136" t="s">
        <v>1291</v>
      </c>
      <c r="D152" s="137">
        <v>1784600</v>
      </c>
      <c r="E152" s="137">
        <v>1784554.29</v>
      </c>
      <c r="F152" s="167">
        <f t="shared" si="16"/>
        <v>45.71</v>
      </c>
      <c r="G152" s="202">
        <f t="shared" si="19"/>
        <v>1784.6</v>
      </c>
      <c r="H152" s="122"/>
      <c r="I152" s="122"/>
      <c r="J152" s="122"/>
      <c r="K152" s="122"/>
      <c r="L152" s="122"/>
      <c r="M152" s="122"/>
    </row>
    <row r="153" spans="1:13" ht="47.25">
      <c r="A153" s="206" t="s">
        <v>1342</v>
      </c>
      <c r="B153" s="136"/>
      <c r="C153" s="136" t="s">
        <v>1343</v>
      </c>
      <c r="D153" s="137"/>
      <c r="E153" s="137">
        <v>84.47</v>
      </c>
      <c r="F153" s="167">
        <f t="shared" si="16"/>
        <v>-84.47</v>
      </c>
      <c r="G153" s="202">
        <f t="shared" si="19"/>
        <v>0.1</v>
      </c>
      <c r="H153" s="122"/>
      <c r="I153" s="122"/>
      <c r="J153" s="122"/>
      <c r="K153" s="122"/>
      <c r="L153" s="122"/>
      <c r="M153" s="122"/>
    </row>
    <row r="154" spans="1:13" ht="78.75">
      <c r="A154" s="135" t="s">
        <v>1140</v>
      </c>
      <c r="B154" s="136"/>
      <c r="C154" s="136" t="s">
        <v>1141</v>
      </c>
      <c r="D154" s="137">
        <v>290000</v>
      </c>
      <c r="E154" s="137">
        <v>260000</v>
      </c>
      <c r="F154" s="167">
        <f t="shared" si="16"/>
        <v>30000</v>
      </c>
      <c r="G154" s="202">
        <f t="shared" si="19"/>
        <v>260</v>
      </c>
      <c r="H154" s="122"/>
      <c r="I154" s="122"/>
      <c r="J154" s="122"/>
      <c r="K154" s="122"/>
      <c r="L154" s="122"/>
      <c r="M154" s="122"/>
    </row>
    <row r="155" spans="1:13" ht="63">
      <c r="A155" s="135" t="s">
        <v>1214</v>
      </c>
      <c r="B155" s="136"/>
      <c r="C155" s="136" t="s">
        <v>1215</v>
      </c>
      <c r="D155" s="137">
        <v>1150000</v>
      </c>
      <c r="E155" s="137">
        <v>1146229.08</v>
      </c>
      <c r="F155" s="167">
        <f t="shared" si="16"/>
        <v>3770.92</v>
      </c>
      <c r="G155" s="202">
        <f t="shared" si="19"/>
        <v>1146.2</v>
      </c>
      <c r="H155" s="122"/>
      <c r="I155" s="122"/>
      <c r="J155" s="122"/>
      <c r="K155" s="122"/>
      <c r="L155" s="122"/>
      <c r="M155" s="122"/>
    </row>
    <row r="156" spans="1:13" ht="31.5">
      <c r="A156" s="135" t="s">
        <v>1288</v>
      </c>
      <c r="B156" s="136"/>
      <c r="C156" s="136" t="s">
        <v>1289</v>
      </c>
      <c r="D156" s="137"/>
      <c r="E156" s="137">
        <v>79724.28</v>
      </c>
      <c r="F156" s="167">
        <f t="shared" si="16"/>
        <v>-79724.28</v>
      </c>
      <c r="G156" s="202">
        <f t="shared" si="19"/>
        <v>79.7</v>
      </c>
      <c r="H156" s="122"/>
      <c r="I156" s="122"/>
      <c r="J156" s="122"/>
      <c r="K156" s="122"/>
      <c r="L156" s="122"/>
      <c r="M156" s="122"/>
    </row>
    <row r="157" spans="1:13" ht="31.5">
      <c r="A157" s="135" t="s">
        <v>1216</v>
      </c>
      <c r="B157" s="136"/>
      <c r="C157" s="136" t="s">
        <v>1217</v>
      </c>
      <c r="D157" s="137">
        <v>5210400</v>
      </c>
      <c r="E157" s="137">
        <v>4800306.37</v>
      </c>
      <c r="F157" s="167">
        <f t="shared" si="16"/>
        <v>410093.63</v>
      </c>
      <c r="G157" s="202">
        <f t="shared" si="19"/>
        <v>4800.3</v>
      </c>
      <c r="H157" s="122"/>
      <c r="I157" s="122"/>
      <c r="J157" s="122"/>
      <c r="K157" s="122"/>
      <c r="L157" s="122"/>
      <c r="M157" s="122"/>
    </row>
    <row r="158" spans="1:13" ht="47.25">
      <c r="A158" s="135" t="s">
        <v>1344</v>
      </c>
      <c r="B158" s="136"/>
      <c r="C158" s="136" t="s">
        <v>1345</v>
      </c>
      <c r="D158" s="141">
        <v>7253703800</v>
      </c>
      <c r="E158" s="141">
        <v>7253703800</v>
      </c>
      <c r="F158" s="167">
        <f t="shared" si="16"/>
        <v>0</v>
      </c>
      <c r="G158" s="202">
        <f t="shared" si="19"/>
        <v>7253703.7999999998</v>
      </c>
      <c r="H158" s="122"/>
      <c r="I158" s="122"/>
      <c r="J158" s="122"/>
      <c r="K158" s="122"/>
      <c r="L158" s="122"/>
      <c r="M158" s="122"/>
    </row>
    <row r="159" spans="1:13" ht="47.25">
      <c r="A159" s="138" t="s">
        <v>1346</v>
      </c>
      <c r="B159" s="136"/>
      <c r="C159" s="136" t="s">
        <v>1347</v>
      </c>
      <c r="D159" s="141">
        <v>286056600</v>
      </c>
      <c r="E159" s="141">
        <v>286056600</v>
      </c>
      <c r="F159" s="167">
        <f t="shared" si="16"/>
        <v>0</v>
      </c>
      <c r="G159" s="202">
        <f t="shared" si="19"/>
        <v>286056.59999999998</v>
      </c>
      <c r="H159" s="122"/>
      <c r="I159" s="122"/>
      <c r="J159" s="122"/>
      <c r="K159" s="122"/>
      <c r="L159" s="122"/>
      <c r="M159" s="122"/>
    </row>
    <row r="160" spans="1:13" ht="63">
      <c r="A160" s="135" t="s">
        <v>1348</v>
      </c>
      <c r="B160" s="136"/>
      <c r="C160" s="136" t="s">
        <v>1349</v>
      </c>
      <c r="D160" s="141">
        <v>5409700</v>
      </c>
      <c r="E160" s="141">
        <v>5409700</v>
      </c>
      <c r="F160" s="167">
        <f t="shared" si="16"/>
        <v>0</v>
      </c>
      <c r="G160" s="202">
        <f t="shared" si="19"/>
        <v>5409.7</v>
      </c>
      <c r="H160" s="122"/>
      <c r="I160" s="122"/>
      <c r="J160" s="122"/>
      <c r="K160" s="122"/>
      <c r="L160" s="122"/>
      <c r="M160" s="122"/>
    </row>
    <row r="161" spans="1:13" ht="78.75">
      <c r="A161" s="135" t="s">
        <v>1240</v>
      </c>
      <c r="B161" s="136"/>
      <c r="C161" s="136" t="s">
        <v>1284</v>
      </c>
      <c r="D161" s="141">
        <v>200355.53</v>
      </c>
      <c r="E161" s="141">
        <v>200355.53</v>
      </c>
      <c r="F161" s="167">
        <f t="shared" si="16"/>
        <v>0</v>
      </c>
      <c r="G161" s="202">
        <f t="shared" si="19"/>
        <v>200.4</v>
      </c>
      <c r="H161" s="122"/>
      <c r="I161" s="122"/>
      <c r="J161" s="122"/>
      <c r="K161" s="122"/>
      <c r="L161" s="122"/>
      <c r="M161" s="122"/>
    </row>
    <row r="162" spans="1:13" ht="78.75">
      <c r="A162" s="135" t="s">
        <v>1285</v>
      </c>
      <c r="B162" s="136"/>
      <c r="C162" s="136" t="s">
        <v>1286</v>
      </c>
      <c r="D162" s="141">
        <v>304377.74</v>
      </c>
      <c r="E162" s="141">
        <v>304377.74</v>
      </c>
      <c r="F162" s="167">
        <f t="shared" si="16"/>
        <v>0</v>
      </c>
      <c r="G162" s="202">
        <f t="shared" si="19"/>
        <v>304.39999999999998</v>
      </c>
      <c r="H162" s="122"/>
      <c r="I162" s="122"/>
      <c r="J162" s="122"/>
      <c r="K162" s="122"/>
      <c r="L162" s="122"/>
      <c r="M162" s="122"/>
    </row>
    <row r="163" spans="1:13" ht="63">
      <c r="A163" s="135" t="s">
        <v>1244</v>
      </c>
      <c r="B163" s="136"/>
      <c r="C163" s="136" t="s">
        <v>1245</v>
      </c>
      <c r="D163" s="141">
        <v>-177429.74</v>
      </c>
      <c r="E163" s="141">
        <v>-177429.74</v>
      </c>
      <c r="F163" s="167">
        <f t="shared" si="16"/>
        <v>0</v>
      </c>
      <c r="G163" s="202">
        <f t="shared" si="19"/>
        <v>-177.4</v>
      </c>
      <c r="H163" s="122"/>
      <c r="I163" s="122"/>
      <c r="J163" s="122"/>
      <c r="K163" s="122"/>
      <c r="L163" s="122"/>
      <c r="M163" s="122"/>
    </row>
    <row r="164" spans="1:13" s="114" customFormat="1" ht="31.5">
      <c r="A164" s="135" t="s">
        <v>216</v>
      </c>
      <c r="B164" s="136" t="s">
        <v>507</v>
      </c>
      <c r="C164" s="139"/>
      <c r="D164" s="141">
        <f>SUM(D165:D176)</f>
        <v>2171136119.7800002</v>
      </c>
      <c r="E164" s="141">
        <f>SUM(E165:E176)</f>
        <v>2170236914.6300001</v>
      </c>
      <c r="F164" s="169">
        <f t="shared" ref="F164:G164" si="21">SUM(F165:F176)</f>
        <v>899205.15</v>
      </c>
      <c r="G164" s="205">
        <f t="shared" si="21"/>
        <v>2170236.7999999998</v>
      </c>
      <c r="H164" s="116"/>
      <c r="I164" s="116"/>
      <c r="J164" s="116"/>
      <c r="K164" s="116"/>
      <c r="L164" s="116"/>
      <c r="M164" s="116"/>
    </row>
    <row r="165" spans="1:13" ht="110.25">
      <c r="A165" s="135" t="s">
        <v>1350</v>
      </c>
      <c r="B165" s="136"/>
      <c r="C165" s="136" t="s">
        <v>1351</v>
      </c>
      <c r="D165" s="137">
        <v>25000</v>
      </c>
      <c r="E165" s="137">
        <v>13000</v>
      </c>
      <c r="F165" s="167">
        <f t="shared" si="16"/>
        <v>12000</v>
      </c>
      <c r="G165" s="202">
        <f t="shared" si="19"/>
        <v>13</v>
      </c>
      <c r="H165" s="122"/>
      <c r="I165" s="122"/>
      <c r="J165" s="122"/>
      <c r="K165" s="122"/>
      <c r="L165" s="122"/>
      <c r="M165" s="122"/>
    </row>
    <row r="166" spans="1:13" ht="63">
      <c r="A166" s="135" t="s">
        <v>1214</v>
      </c>
      <c r="B166" s="136"/>
      <c r="C166" s="136" t="s">
        <v>1215</v>
      </c>
      <c r="D166" s="137">
        <v>65000</v>
      </c>
      <c r="E166" s="137">
        <v>15247.17</v>
      </c>
      <c r="F166" s="167">
        <f t="shared" si="16"/>
        <v>49752.83</v>
      </c>
      <c r="G166" s="202">
        <f t="shared" si="19"/>
        <v>15.2</v>
      </c>
      <c r="H166" s="122"/>
      <c r="I166" s="122"/>
      <c r="J166" s="122"/>
      <c r="K166" s="122"/>
      <c r="L166" s="122"/>
      <c r="M166" s="122"/>
    </row>
    <row r="167" spans="1:13" ht="31.5">
      <c r="A167" s="135" t="s">
        <v>1216</v>
      </c>
      <c r="B167" s="136"/>
      <c r="C167" s="136" t="s">
        <v>1217</v>
      </c>
      <c r="D167" s="137"/>
      <c r="E167" s="137">
        <v>24061.71</v>
      </c>
      <c r="F167" s="167">
        <f t="shared" si="16"/>
        <v>-24061.71</v>
      </c>
      <c r="G167" s="202">
        <f t="shared" si="19"/>
        <v>24.1</v>
      </c>
      <c r="H167" s="122"/>
      <c r="I167" s="122"/>
      <c r="J167" s="122"/>
      <c r="K167" s="122"/>
      <c r="L167" s="122"/>
      <c r="M167" s="122"/>
    </row>
    <row r="168" spans="1:13" ht="94.5">
      <c r="A168" s="207" t="s">
        <v>1296</v>
      </c>
      <c r="B168" s="136"/>
      <c r="C168" s="136" t="s">
        <v>1297</v>
      </c>
      <c r="D168" s="141">
        <v>1675695400</v>
      </c>
      <c r="E168" s="141">
        <v>1675695400</v>
      </c>
      <c r="F168" s="167">
        <f t="shared" si="16"/>
        <v>0</v>
      </c>
      <c r="G168" s="202">
        <f t="shared" si="19"/>
        <v>1675695.4</v>
      </c>
      <c r="H168" s="122"/>
      <c r="I168" s="122"/>
      <c r="J168" s="122"/>
      <c r="K168" s="122"/>
      <c r="L168" s="122"/>
      <c r="M168" s="122"/>
    </row>
    <row r="169" spans="1:13" ht="63">
      <c r="A169" s="207" t="s">
        <v>1352</v>
      </c>
      <c r="B169" s="136"/>
      <c r="C169" s="136" t="s">
        <v>1353</v>
      </c>
      <c r="D169" s="141">
        <v>630000</v>
      </c>
      <c r="E169" s="141">
        <v>630000</v>
      </c>
      <c r="F169" s="167">
        <f t="shared" si="16"/>
        <v>0</v>
      </c>
      <c r="G169" s="202">
        <f t="shared" si="19"/>
        <v>630</v>
      </c>
      <c r="H169" s="122"/>
      <c r="I169" s="122"/>
      <c r="J169" s="122"/>
      <c r="K169" s="122"/>
      <c r="L169" s="122"/>
      <c r="M169" s="122"/>
    </row>
    <row r="170" spans="1:13" ht="63">
      <c r="A170" s="207" t="s">
        <v>1354</v>
      </c>
      <c r="B170" s="136"/>
      <c r="C170" s="136" t="s">
        <v>1355</v>
      </c>
      <c r="D170" s="141">
        <f>92915000</f>
        <v>92915000</v>
      </c>
      <c r="E170" s="141">
        <v>92915000</v>
      </c>
      <c r="F170" s="167">
        <f t="shared" si="16"/>
        <v>0</v>
      </c>
      <c r="G170" s="202">
        <f t="shared" si="19"/>
        <v>92915</v>
      </c>
      <c r="H170" s="122"/>
      <c r="I170" s="122"/>
      <c r="J170" s="122"/>
      <c r="K170" s="122"/>
      <c r="L170" s="122"/>
      <c r="M170" s="122"/>
    </row>
    <row r="171" spans="1:13" ht="94.5">
      <c r="A171" s="207" t="s">
        <v>1356</v>
      </c>
      <c r="B171" s="136"/>
      <c r="C171" s="136" t="s">
        <v>1357</v>
      </c>
      <c r="D171" s="141">
        <v>63617200</v>
      </c>
      <c r="E171" s="141">
        <v>63617200</v>
      </c>
      <c r="F171" s="167"/>
      <c r="G171" s="202">
        <f t="shared" si="19"/>
        <v>63617.2</v>
      </c>
      <c r="H171" s="122"/>
      <c r="I171" s="122"/>
      <c r="J171" s="122"/>
      <c r="K171" s="122"/>
      <c r="L171" s="122"/>
      <c r="M171" s="122"/>
    </row>
    <row r="172" spans="1:13" ht="94.5">
      <c r="A172" s="207" t="s">
        <v>1358</v>
      </c>
      <c r="B172" s="136"/>
      <c r="C172" s="136" t="s">
        <v>1359</v>
      </c>
      <c r="D172" s="141">
        <v>24212521</v>
      </c>
      <c r="E172" s="141">
        <v>24212521</v>
      </c>
      <c r="F172" s="167">
        <f t="shared" si="16"/>
        <v>0</v>
      </c>
      <c r="G172" s="202">
        <f t="shared" si="19"/>
        <v>24212.5</v>
      </c>
      <c r="H172" s="122"/>
      <c r="I172" s="122"/>
      <c r="J172" s="122"/>
      <c r="K172" s="122"/>
      <c r="L172" s="122"/>
      <c r="M172" s="122"/>
    </row>
    <row r="173" spans="1:13" ht="94.5">
      <c r="A173" s="207" t="s">
        <v>1360</v>
      </c>
      <c r="B173" s="136"/>
      <c r="C173" s="136" t="s">
        <v>1361</v>
      </c>
      <c r="D173" s="141">
        <v>310185852</v>
      </c>
      <c r="E173" s="141">
        <v>309324337.97000003</v>
      </c>
      <c r="F173" s="167">
        <f t="shared" si="16"/>
        <v>861514.03</v>
      </c>
      <c r="G173" s="202">
        <f t="shared" si="19"/>
        <v>309324.3</v>
      </c>
      <c r="H173" s="122"/>
      <c r="I173" s="122"/>
      <c r="J173" s="122"/>
      <c r="K173" s="122"/>
      <c r="L173" s="122"/>
      <c r="M173" s="122"/>
    </row>
    <row r="174" spans="1:13" ht="78.75">
      <c r="A174" s="135" t="s">
        <v>1240</v>
      </c>
      <c r="B174" s="136"/>
      <c r="C174" s="136" t="s">
        <v>1284</v>
      </c>
      <c r="D174" s="141">
        <v>136926.19</v>
      </c>
      <c r="E174" s="141">
        <v>136926.19</v>
      </c>
      <c r="F174" s="167">
        <f t="shared" si="16"/>
        <v>0</v>
      </c>
      <c r="G174" s="202">
        <f t="shared" si="19"/>
        <v>136.9</v>
      </c>
      <c r="H174" s="122"/>
      <c r="I174" s="122"/>
      <c r="J174" s="122"/>
      <c r="K174" s="122"/>
      <c r="L174" s="122"/>
      <c r="M174" s="122"/>
    </row>
    <row r="175" spans="1:13" ht="78.75">
      <c r="A175" s="135" t="s">
        <v>1285</v>
      </c>
      <c r="B175" s="136"/>
      <c r="C175" s="136" t="s">
        <v>1286</v>
      </c>
      <c r="D175" s="141">
        <v>3783535.58</v>
      </c>
      <c r="E175" s="141">
        <v>3783535.58</v>
      </c>
      <c r="F175" s="167">
        <f t="shared" si="16"/>
        <v>0</v>
      </c>
      <c r="G175" s="202">
        <f t="shared" si="19"/>
        <v>3783.5</v>
      </c>
      <c r="H175" s="122"/>
      <c r="I175" s="122"/>
      <c r="J175" s="122"/>
      <c r="K175" s="122"/>
      <c r="L175" s="122"/>
      <c r="M175" s="122"/>
    </row>
    <row r="176" spans="1:13" ht="63">
      <c r="A176" s="135" t="s">
        <v>1244</v>
      </c>
      <c r="B176" s="136"/>
      <c r="C176" s="136" t="s">
        <v>1245</v>
      </c>
      <c r="D176" s="141">
        <v>-130314.99</v>
      </c>
      <c r="E176" s="141">
        <v>-130314.99</v>
      </c>
      <c r="F176" s="167">
        <f t="shared" si="16"/>
        <v>0</v>
      </c>
      <c r="G176" s="202">
        <f t="shared" si="19"/>
        <v>-130.30000000000001</v>
      </c>
      <c r="H176" s="122"/>
      <c r="I176" s="122"/>
      <c r="J176" s="122"/>
      <c r="K176" s="122"/>
      <c r="L176" s="122"/>
      <c r="M176" s="122"/>
    </row>
    <row r="177" spans="1:13" ht="31.5">
      <c r="A177" s="135" t="s">
        <v>1362</v>
      </c>
      <c r="B177" s="136" t="s">
        <v>508</v>
      </c>
      <c r="C177" s="136"/>
      <c r="D177" s="141">
        <f>D178</f>
        <v>0</v>
      </c>
      <c r="E177" s="141">
        <f>E178</f>
        <v>40000</v>
      </c>
      <c r="F177" s="169">
        <f t="shared" ref="F177:G177" si="22">F178</f>
        <v>-40000</v>
      </c>
      <c r="G177" s="205">
        <f t="shared" si="22"/>
        <v>40</v>
      </c>
      <c r="H177" s="122"/>
      <c r="I177" s="122"/>
      <c r="J177" s="122"/>
      <c r="K177" s="122"/>
      <c r="L177" s="122"/>
      <c r="M177" s="122"/>
    </row>
    <row r="178" spans="1:13" ht="31.5">
      <c r="A178" s="135" t="s">
        <v>1288</v>
      </c>
      <c r="B178" s="136"/>
      <c r="C178" s="136" t="s">
        <v>1289</v>
      </c>
      <c r="D178" s="141"/>
      <c r="E178" s="141">
        <v>40000</v>
      </c>
      <c r="F178" s="167">
        <f t="shared" si="16"/>
        <v>-40000</v>
      </c>
      <c r="G178" s="202">
        <f t="shared" si="19"/>
        <v>40</v>
      </c>
      <c r="H178" s="122"/>
      <c r="I178" s="122"/>
      <c r="J178" s="122"/>
      <c r="K178" s="122"/>
      <c r="L178" s="122"/>
      <c r="M178" s="122"/>
    </row>
    <row r="179" spans="1:13" s="114" customFormat="1" ht="31.5">
      <c r="A179" s="135" t="s">
        <v>234</v>
      </c>
      <c r="B179" s="136" t="s">
        <v>509</v>
      </c>
      <c r="C179" s="139"/>
      <c r="D179" s="141">
        <f>SUM(D180:D182)</f>
        <v>12000</v>
      </c>
      <c r="E179" s="141">
        <f>SUM(E180:E182)</f>
        <v>63269.71</v>
      </c>
      <c r="F179" s="169">
        <f t="shared" ref="F179:G179" si="23">SUM(F180:F182)</f>
        <v>-51269.71</v>
      </c>
      <c r="G179" s="205">
        <f t="shared" si="23"/>
        <v>63.3</v>
      </c>
      <c r="H179" s="116"/>
      <c r="I179" s="116"/>
      <c r="J179" s="116"/>
      <c r="K179" s="116"/>
      <c r="L179" s="116"/>
      <c r="M179" s="116"/>
    </row>
    <row r="180" spans="1:13" ht="94.5">
      <c r="A180" s="135" t="s">
        <v>1209</v>
      </c>
      <c r="B180" s="136"/>
      <c r="C180" s="136" t="s">
        <v>1211</v>
      </c>
      <c r="D180" s="137">
        <v>12000</v>
      </c>
      <c r="E180" s="137">
        <v>12000</v>
      </c>
      <c r="F180" s="167">
        <f t="shared" si="16"/>
        <v>0</v>
      </c>
      <c r="G180" s="202">
        <f t="shared" si="19"/>
        <v>12</v>
      </c>
      <c r="H180" s="122"/>
      <c r="I180" s="122"/>
      <c r="J180" s="122"/>
      <c r="K180" s="122"/>
      <c r="L180" s="122"/>
      <c r="M180" s="122"/>
    </row>
    <row r="181" spans="1:13" ht="63">
      <c r="A181" s="138" t="s">
        <v>1363</v>
      </c>
      <c r="B181" s="136"/>
      <c r="C181" s="143" t="s">
        <v>1343</v>
      </c>
      <c r="D181" s="137"/>
      <c r="E181" s="137">
        <v>5289.6</v>
      </c>
      <c r="F181" s="167">
        <f t="shared" si="16"/>
        <v>-5289.6</v>
      </c>
      <c r="G181" s="202">
        <f t="shared" si="19"/>
        <v>5.3</v>
      </c>
      <c r="H181" s="122"/>
      <c r="I181" s="122"/>
      <c r="J181" s="122"/>
      <c r="K181" s="122"/>
      <c r="L181" s="122"/>
      <c r="M181" s="122"/>
    </row>
    <row r="182" spans="1:13" ht="31.5">
      <c r="A182" s="135" t="s">
        <v>1216</v>
      </c>
      <c r="B182" s="136"/>
      <c r="C182" s="136" t="s">
        <v>1217</v>
      </c>
      <c r="D182" s="137"/>
      <c r="E182" s="137">
        <v>45980.11</v>
      </c>
      <c r="F182" s="167">
        <f t="shared" si="16"/>
        <v>-45980.11</v>
      </c>
      <c r="G182" s="202">
        <f t="shared" si="19"/>
        <v>46</v>
      </c>
      <c r="H182" s="122"/>
      <c r="I182" s="122"/>
      <c r="J182" s="122"/>
      <c r="K182" s="122"/>
      <c r="L182" s="122"/>
      <c r="M182" s="122"/>
    </row>
    <row r="183" spans="1:13" s="114" customFormat="1" ht="31.5">
      <c r="A183" s="135" t="s">
        <v>235</v>
      </c>
      <c r="B183" s="136" t="s">
        <v>510</v>
      </c>
      <c r="C183" s="139"/>
      <c r="D183" s="141">
        <f>SUM(D184:D203)</f>
        <v>335211204.42000002</v>
      </c>
      <c r="E183" s="141">
        <f>SUM(E184:E203)</f>
        <v>335248468.20999998</v>
      </c>
      <c r="F183" s="169">
        <f t="shared" ref="F183:G183" si="24">SUM(F184:F203)</f>
        <v>-37263.79</v>
      </c>
      <c r="G183" s="205">
        <f t="shared" si="24"/>
        <v>335248.5</v>
      </c>
      <c r="H183" s="116"/>
      <c r="I183" s="116"/>
      <c r="J183" s="116"/>
      <c r="K183" s="116"/>
      <c r="L183" s="116"/>
      <c r="M183" s="116"/>
    </row>
    <row r="184" spans="1:13" ht="31.5">
      <c r="A184" s="138" t="s">
        <v>1212</v>
      </c>
      <c r="B184" s="136"/>
      <c r="C184" s="136" t="s">
        <v>1213</v>
      </c>
      <c r="D184" s="137"/>
      <c r="E184" s="137">
        <v>37664.370000000003</v>
      </c>
      <c r="F184" s="167">
        <f t="shared" si="16"/>
        <v>-37664.370000000003</v>
      </c>
      <c r="G184" s="202">
        <f t="shared" si="19"/>
        <v>37.700000000000003</v>
      </c>
      <c r="H184" s="122"/>
      <c r="I184" s="122"/>
      <c r="J184" s="122"/>
      <c r="K184" s="122"/>
      <c r="L184" s="122"/>
      <c r="M184" s="122"/>
    </row>
    <row r="185" spans="1:13" ht="31.5">
      <c r="A185" s="135" t="s">
        <v>1288</v>
      </c>
      <c r="B185" s="136"/>
      <c r="C185" s="136" t="s">
        <v>1289</v>
      </c>
      <c r="D185" s="137"/>
      <c r="E185" s="137">
        <v>-193.53</v>
      </c>
      <c r="F185" s="167">
        <f t="shared" si="16"/>
        <v>193.53</v>
      </c>
      <c r="G185" s="202">
        <f t="shared" si="19"/>
        <v>-0.2</v>
      </c>
      <c r="H185" s="122"/>
      <c r="I185" s="122"/>
      <c r="J185" s="122"/>
      <c r="K185" s="122"/>
      <c r="L185" s="122"/>
      <c r="M185" s="122"/>
    </row>
    <row r="186" spans="1:13" ht="31.5">
      <c r="A186" s="135" t="s">
        <v>1216</v>
      </c>
      <c r="B186" s="136"/>
      <c r="C186" s="136" t="s">
        <v>1217</v>
      </c>
      <c r="D186" s="137">
        <v>132000</v>
      </c>
      <c r="E186" s="137">
        <v>131792.95000000001</v>
      </c>
      <c r="F186" s="167">
        <f t="shared" si="16"/>
        <v>207.05</v>
      </c>
      <c r="G186" s="202">
        <f t="shared" si="19"/>
        <v>131.80000000000001</v>
      </c>
      <c r="H186" s="122"/>
      <c r="I186" s="122"/>
      <c r="J186" s="122"/>
      <c r="K186" s="122"/>
      <c r="L186" s="122"/>
      <c r="M186" s="122"/>
    </row>
    <row r="187" spans="1:13" ht="31.5">
      <c r="A187" s="135" t="s">
        <v>1364</v>
      </c>
      <c r="B187" s="136"/>
      <c r="C187" s="136" t="s">
        <v>1365</v>
      </c>
      <c r="D187" s="141">
        <v>37741900</v>
      </c>
      <c r="E187" s="141">
        <v>37741900</v>
      </c>
      <c r="F187" s="167">
        <f t="shared" si="16"/>
        <v>0</v>
      </c>
      <c r="G187" s="202">
        <f t="shared" si="19"/>
        <v>37741.9</v>
      </c>
      <c r="H187" s="122"/>
      <c r="I187" s="122"/>
      <c r="J187" s="122"/>
      <c r="K187" s="122"/>
      <c r="L187" s="122"/>
      <c r="M187" s="122"/>
    </row>
    <row r="188" spans="1:13" ht="63">
      <c r="A188" s="207" t="s">
        <v>1366</v>
      </c>
      <c r="B188" s="136"/>
      <c r="C188" s="136" t="s">
        <v>1367</v>
      </c>
      <c r="D188" s="141">
        <v>4942000</v>
      </c>
      <c r="E188" s="141">
        <v>4942000</v>
      </c>
      <c r="F188" s="167">
        <f t="shared" si="16"/>
        <v>0</v>
      </c>
      <c r="G188" s="202">
        <f t="shared" si="19"/>
        <v>4942</v>
      </c>
      <c r="H188" s="122"/>
      <c r="I188" s="122"/>
      <c r="J188" s="122"/>
      <c r="K188" s="122"/>
      <c r="L188" s="122"/>
      <c r="M188" s="122"/>
    </row>
    <row r="189" spans="1:13" ht="31.5">
      <c r="A189" s="207" t="s">
        <v>1260</v>
      </c>
      <c r="B189" s="136"/>
      <c r="C189" s="136" t="s">
        <v>1261</v>
      </c>
      <c r="D189" s="141">
        <v>4605230</v>
      </c>
      <c r="E189" s="141">
        <v>4605230</v>
      </c>
      <c r="F189" s="167">
        <f t="shared" si="16"/>
        <v>0</v>
      </c>
      <c r="G189" s="202">
        <f t="shared" si="19"/>
        <v>4605.2</v>
      </c>
      <c r="H189" s="122"/>
      <c r="I189" s="122"/>
      <c r="J189" s="122"/>
      <c r="K189" s="122"/>
      <c r="L189" s="122"/>
      <c r="M189" s="122"/>
    </row>
    <row r="190" spans="1:13" ht="110.25">
      <c r="A190" s="206" t="s">
        <v>1368</v>
      </c>
      <c r="B190" s="136"/>
      <c r="C190" s="136" t="s">
        <v>1369</v>
      </c>
      <c r="D190" s="141">
        <v>6426300</v>
      </c>
      <c r="E190" s="141">
        <v>6426300</v>
      </c>
      <c r="F190" s="167">
        <f t="shared" si="16"/>
        <v>0</v>
      </c>
      <c r="G190" s="202">
        <f t="shared" si="19"/>
        <v>6426.3</v>
      </c>
      <c r="H190" s="122"/>
      <c r="I190" s="122"/>
      <c r="J190" s="122"/>
      <c r="K190" s="122"/>
      <c r="L190" s="122"/>
      <c r="M190" s="122"/>
    </row>
    <row r="191" spans="1:13" ht="47.25">
      <c r="A191" s="135" t="s">
        <v>1370</v>
      </c>
      <c r="B191" s="136"/>
      <c r="C191" s="136" t="s">
        <v>1371</v>
      </c>
      <c r="D191" s="141">
        <v>228490000</v>
      </c>
      <c r="E191" s="141">
        <v>228490000</v>
      </c>
      <c r="F191" s="167">
        <f t="shared" si="16"/>
        <v>0</v>
      </c>
      <c r="G191" s="202">
        <f t="shared" si="19"/>
        <v>228490</v>
      </c>
      <c r="H191" s="122"/>
      <c r="I191" s="122"/>
      <c r="J191" s="122"/>
      <c r="K191" s="122"/>
      <c r="L191" s="122"/>
      <c r="M191" s="122"/>
    </row>
    <row r="192" spans="1:13" ht="63">
      <c r="A192" s="135" t="s">
        <v>1372</v>
      </c>
      <c r="B192" s="136"/>
      <c r="C192" s="136" t="s">
        <v>1373</v>
      </c>
      <c r="D192" s="141">
        <v>7350958.9199999999</v>
      </c>
      <c r="E192" s="141">
        <v>7350958.9199999999</v>
      </c>
      <c r="F192" s="167">
        <f t="shared" si="16"/>
        <v>0</v>
      </c>
      <c r="G192" s="202">
        <f t="shared" si="19"/>
        <v>7351</v>
      </c>
      <c r="H192" s="122"/>
      <c r="I192" s="122"/>
      <c r="J192" s="122"/>
      <c r="K192" s="122"/>
      <c r="L192" s="122"/>
      <c r="M192" s="122"/>
    </row>
    <row r="193" spans="1:13" ht="78.75">
      <c r="A193" s="135" t="s">
        <v>1374</v>
      </c>
      <c r="B193" s="136"/>
      <c r="C193" s="136" t="s">
        <v>1375</v>
      </c>
      <c r="D193" s="141">
        <v>58000</v>
      </c>
      <c r="E193" s="141">
        <v>58000</v>
      </c>
      <c r="F193" s="167">
        <f t="shared" si="16"/>
        <v>0</v>
      </c>
      <c r="G193" s="202">
        <f t="shared" si="19"/>
        <v>58</v>
      </c>
      <c r="H193" s="122"/>
      <c r="I193" s="122"/>
      <c r="J193" s="122"/>
      <c r="K193" s="122"/>
      <c r="L193" s="122"/>
      <c r="M193" s="122"/>
    </row>
    <row r="194" spans="1:13" ht="78.75">
      <c r="A194" s="135" t="s">
        <v>1376</v>
      </c>
      <c r="B194" s="136"/>
      <c r="C194" s="136" t="s">
        <v>1377</v>
      </c>
      <c r="D194" s="141">
        <v>118800</v>
      </c>
      <c r="E194" s="141">
        <v>118800</v>
      </c>
      <c r="F194" s="167">
        <f t="shared" si="16"/>
        <v>0</v>
      </c>
      <c r="G194" s="202">
        <f t="shared" si="19"/>
        <v>118.8</v>
      </c>
      <c r="H194" s="122"/>
      <c r="I194" s="122"/>
      <c r="J194" s="122"/>
      <c r="K194" s="122"/>
      <c r="L194" s="122"/>
      <c r="M194" s="122"/>
    </row>
    <row r="195" spans="1:13" ht="63">
      <c r="A195" s="135" t="s">
        <v>1272</v>
      </c>
      <c r="B195" s="136"/>
      <c r="C195" s="136" t="s">
        <v>1273</v>
      </c>
      <c r="D195" s="141">
        <v>2279500</v>
      </c>
      <c r="E195" s="141">
        <v>2279500</v>
      </c>
      <c r="F195" s="167">
        <f t="shared" si="16"/>
        <v>0</v>
      </c>
      <c r="G195" s="202">
        <f t="shared" si="19"/>
        <v>2279.5</v>
      </c>
      <c r="H195" s="122"/>
      <c r="I195" s="122"/>
      <c r="J195" s="122"/>
      <c r="K195" s="122"/>
      <c r="L195" s="122"/>
      <c r="M195" s="122"/>
    </row>
    <row r="196" spans="1:13" ht="94.5">
      <c r="A196" s="135" t="s">
        <v>1378</v>
      </c>
      <c r="B196" s="136"/>
      <c r="C196" s="136" t="s">
        <v>1379</v>
      </c>
      <c r="D196" s="141">
        <v>7799700</v>
      </c>
      <c r="E196" s="141">
        <v>7799700</v>
      </c>
      <c r="F196" s="167">
        <f t="shared" si="16"/>
        <v>0</v>
      </c>
      <c r="G196" s="202">
        <f t="shared" si="19"/>
        <v>7799.7</v>
      </c>
      <c r="H196" s="122"/>
      <c r="I196" s="122"/>
      <c r="J196" s="122"/>
      <c r="K196" s="122"/>
      <c r="L196" s="122"/>
      <c r="M196" s="122"/>
    </row>
    <row r="197" spans="1:13" ht="126">
      <c r="A197" s="135" t="s">
        <v>1380</v>
      </c>
      <c r="B197" s="136"/>
      <c r="C197" s="136" t="s">
        <v>1381</v>
      </c>
      <c r="D197" s="141">
        <v>36954700</v>
      </c>
      <c r="E197" s="141">
        <v>36954700</v>
      </c>
      <c r="F197" s="167">
        <f t="shared" si="16"/>
        <v>0</v>
      </c>
      <c r="G197" s="202">
        <f t="shared" si="19"/>
        <v>36954.699999999997</v>
      </c>
      <c r="H197" s="122"/>
      <c r="I197" s="122"/>
      <c r="J197" s="122"/>
      <c r="K197" s="122"/>
      <c r="L197" s="122"/>
      <c r="M197" s="122"/>
    </row>
    <row r="198" spans="1:13" ht="110.25">
      <c r="A198" s="135" t="s">
        <v>1382</v>
      </c>
      <c r="B198" s="136"/>
      <c r="C198" s="136" t="s">
        <v>1383</v>
      </c>
      <c r="D198" s="141">
        <v>10460100</v>
      </c>
      <c r="E198" s="141">
        <v>10460100</v>
      </c>
      <c r="F198" s="167">
        <f t="shared" ref="F198:F276" si="25">D198-E198</f>
        <v>0</v>
      </c>
      <c r="G198" s="202">
        <f t="shared" si="19"/>
        <v>10460.1</v>
      </c>
      <c r="H198" s="122"/>
      <c r="I198" s="122"/>
      <c r="J198" s="122"/>
      <c r="K198" s="122"/>
      <c r="L198" s="122"/>
      <c r="M198" s="122"/>
    </row>
    <row r="199" spans="1:13" ht="31.5">
      <c r="A199" s="135" t="s">
        <v>1384</v>
      </c>
      <c r="B199" s="136"/>
      <c r="C199" s="136" t="s">
        <v>1385</v>
      </c>
      <c r="D199" s="141">
        <v>262599</v>
      </c>
      <c r="E199" s="141">
        <v>262599</v>
      </c>
      <c r="F199" s="167">
        <f t="shared" si="25"/>
        <v>0</v>
      </c>
      <c r="G199" s="202">
        <f t="shared" si="19"/>
        <v>262.60000000000002</v>
      </c>
      <c r="H199" s="122"/>
      <c r="I199" s="122"/>
      <c r="J199" s="122"/>
      <c r="K199" s="122"/>
      <c r="L199" s="122"/>
      <c r="M199" s="122"/>
    </row>
    <row r="200" spans="1:13" ht="63">
      <c r="A200" s="210" t="s">
        <v>1386</v>
      </c>
      <c r="B200" s="136"/>
      <c r="C200" s="136" t="s">
        <v>1387</v>
      </c>
      <c r="D200" s="141">
        <v>27397377</v>
      </c>
      <c r="E200" s="141">
        <v>27397377</v>
      </c>
      <c r="F200" s="167">
        <f t="shared" si="25"/>
        <v>0</v>
      </c>
      <c r="G200" s="202">
        <f t="shared" si="19"/>
        <v>27397.4</v>
      </c>
      <c r="H200" s="122"/>
      <c r="I200" s="122"/>
      <c r="J200" s="122"/>
      <c r="K200" s="122"/>
      <c r="L200" s="122"/>
      <c r="M200" s="122"/>
    </row>
    <row r="201" spans="1:13" ht="47.25">
      <c r="A201" s="138" t="s">
        <v>1238</v>
      </c>
      <c r="B201" s="136"/>
      <c r="C201" s="136" t="s">
        <v>1239</v>
      </c>
      <c r="D201" s="141">
        <v>193.5</v>
      </c>
      <c r="E201" s="141">
        <v>193.5</v>
      </c>
      <c r="F201" s="167">
        <f>D201-E201</f>
        <v>0</v>
      </c>
      <c r="G201" s="202">
        <f t="shared" si="19"/>
        <v>0.2</v>
      </c>
      <c r="H201" s="122"/>
      <c r="I201" s="122"/>
      <c r="J201" s="122"/>
      <c r="K201" s="122"/>
      <c r="L201" s="122"/>
      <c r="M201" s="122"/>
    </row>
    <row r="202" spans="1:13" ht="78.75">
      <c r="A202" s="135" t="s">
        <v>1285</v>
      </c>
      <c r="B202" s="136"/>
      <c r="C202" s="136" t="s">
        <v>1286</v>
      </c>
      <c r="D202" s="141">
        <v>11231.84</v>
      </c>
      <c r="E202" s="141">
        <v>11231.84</v>
      </c>
      <c r="F202" s="167">
        <f t="shared" si="25"/>
        <v>0</v>
      </c>
      <c r="G202" s="202">
        <f t="shared" si="19"/>
        <v>11.2</v>
      </c>
      <c r="H202" s="122"/>
      <c r="I202" s="122"/>
      <c r="J202" s="122"/>
      <c r="K202" s="122"/>
      <c r="L202" s="122"/>
      <c r="M202" s="122"/>
    </row>
    <row r="203" spans="1:13" ht="63">
      <c r="A203" s="135" t="s">
        <v>1244</v>
      </c>
      <c r="B203" s="136"/>
      <c r="C203" s="136" t="s">
        <v>1245</v>
      </c>
      <c r="D203" s="141">
        <v>-39819385.840000004</v>
      </c>
      <c r="E203" s="141">
        <v>-39819385.840000004</v>
      </c>
      <c r="F203" s="167">
        <f t="shared" si="25"/>
        <v>0</v>
      </c>
      <c r="G203" s="202">
        <f t="shared" ref="G203:G265" si="26">E203/1000</f>
        <v>-39819.4</v>
      </c>
      <c r="H203" s="122"/>
      <c r="I203" s="122"/>
      <c r="J203" s="122"/>
      <c r="K203" s="122"/>
      <c r="L203" s="122"/>
      <c r="M203" s="122"/>
    </row>
    <row r="204" spans="1:13" s="114" customFormat="1">
      <c r="A204" s="135" t="s">
        <v>259</v>
      </c>
      <c r="B204" s="136" t="s">
        <v>511</v>
      </c>
      <c r="C204" s="139"/>
      <c r="D204" s="141">
        <f>SUM(D205:D208)</f>
        <v>7830.53</v>
      </c>
      <c r="E204" s="141">
        <f>SUM(E205:E208)</f>
        <v>224594.11</v>
      </c>
      <c r="F204" s="169">
        <f t="shared" ref="F204:G204" si="27">SUM(F205:F208)</f>
        <v>-216763.58</v>
      </c>
      <c r="G204" s="205">
        <f t="shared" si="27"/>
        <v>224.6</v>
      </c>
      <c r="H204" s="116"/>
      <c r="I204" s="116"/>
      <c r="J204" s="116"/>
      <c r="K204" s="116"/>
      <c r="L204" s="116"/>
      <c r="M204" s="116"/>
    </row>
    <row r="205" spans="1:13" ht="47.25">
      <c r="A205" s="135" t="s">
        <v>1388</v>
      </c>
      <c r="B205" s="136"/>
      <c r="C205" s="136" t="s">
        <v>1389</v>
      </c>
      <c r="D205" s="137"/>
      <c r="E205" s="137">
        <v>74150</v>
      </c>
      <c r="F205" s="167">
        <f t="shared" si="25"/>
        <v>-74150</v>
      </c>
      <c r="G205" s="202">
        <f t="shared" si="26"/>
        <v>74.2</v>
      </c>
      <c r="H205" s="122"/>
      <c r="I205" s="122"/>
      <c r="J205" s="122"/>
      <c r="K205" s="122"/>
      <c r="L205" s="122"/>
      <c r="M205" s="122"/>
    </row>
    <row r="206" spans="1:13" ht="31.5">
      <c r="A206" s="135" t="s">
        <v>1212</v>
      </c>
      <c r="B206" s="136"/>
      <c r="C206" s="136" t="s">
        <v>1213</v>
      </c>
      <c r="D206" s="137"/>
      <c r="E206" s="137">
        <v>42783.58</v>
      </c>
      <c r="F206" s="167">
        <f t="shared" si="25"/>
        <v>-42783.58</v>
      </c>
      <c r="G206" s="202">
        <f t="shared" si="26"/>
        <v>42.8</v>
      </c>
      <c r="H206" s="122"/>
      <c r="I206" s="122"/>
      <c r="J206" s="122"/>
      <c r="K206" s="122"/>
      <c r="L206" s="122"/>
      <c r="M206" s="122"/>
    </row>
    <row r="207" spans="1:13" ht="31.5">
      <c r="A207" s="135" t="s">
        <v>1288</v>
      </c>
      <c r="B207" s="136"/>
      <c r="C207" s="136" t="s">
        <v>1289</v>
      </c>
      <c r="D207" s="137"/>
      <c r="E207" s="137">
        <v>99830</v>
      </c>
      <c r="F207" s="167">
        <f t="shared" si="25"/>
        <v>-99830</v>
      </c>
      <c r="G207" s="202">
        <f t="shared" si="26"/>
        <v>99.8</v>
      </c>
      <c r="H207" s="122"/>
      <c r="I207" s="122"/>
      <c r="J207" s="122"/>
      <c r="K207" s="122"/>
      <c r="L207" s="122"/>
      <c r="M207" s="122"/>
    </row>
    <row r="208" spans="1:13" ht="78.75">
      <c r="A208" s="135" t="s">
        <v>1285</v>
      </c>
      <c r="B208" s="136"/>
      <c r="C208" s="136" t="s">
        <v>1286</v>
      </c>
      <c r="D208" s="141">
        <v>7830.53</v>
      </c>
      <c r="E208" s="141">
        <v>7830.53</v>
      </c>
      <c r="F208" s="167">
        <f t="shared" si="25"/>
        <v>0</v>
      </c>
      <c r="G208" s="202">
        <f t="shared" si="26"/>
        <v>7.8</v>
      </c>
      <c r="H208" s="122"/>
      <c r="I208" s="122"/>
      <c r="J208" s="122"/>
      <c r="K208" s="122"/>
      <c r="L208" s="122"/>
      <c r="M208" s="122"/>
    </row>
    <row r="209" spans="1:13" s="114" customFormat="1" ht="31.5">
      <c r="A209" s="135" t="s">
        <v>260</v>
      </c>
      <c r="B209" s="136" t="s">
        <v>512</v>
      </c>
      <c r="C209" s="139"/>
      <c r="D209" s="141">
        <f>SUM(D210:D219)</f>
        <v>20608000</v>
      </c>
      <c r="E209" s="141">
        <f>SUM(E210:E219)</f>
        <v>21890444.879999999</v>
      </c>
      <c r="F209" s="169">
        <f t="shared" ref="F209:G209" si="28">SUM(F210:F219)</f>
        <v>-1282444.8799999999</v>
      </c>
      <c r="G209" s="205">
        <f t="shared" si="28"/>
        <v>21890.5</v>
      </c>
      <c r="H209" s="116"/>
      <c r="I209" s="116"/>
      <c r="J209" s="116"/>
      <c r="K209" s="116"/>
      <c r="L209" s="116"/>
      <c r="M209" s="116"/>
    </row>
    <row r="210" spans="1:13" ht="94.5">
      <c r="A210" s="135" t="s">
        <v>1209</v>
      </c>
      <c r="B210" s="136"/>
      <c r="C210" s="136" t="s">
        <v>1211</v>
      </c>
      <c r="D210" s="137">
        <v>10000</v>
      </c>
      <c r="E210" s="137">
        <v>12800</v>
      </c>
      <c r="F210" s="167">
        <f t="shared" si="25"/>
        <v>-2800</v>
      </c>
      <c r="G210" s="202">
        <f t="shared" si="26"/>
        <v>12.8</v>
      </c>
      <c r="H210" s="122"/>
      <c r="I210" s="122"/>
      <c r="J210" s="122"/>
      <c r="K210" s="122"/>
      <c r="L210" s="122"/>
      <c r="M210" s="122"/>
    </row>
    <row r="211" spans="1:13" ht="63">
      <c r="A211" s="135" t="s">
        <v>1390</v>
      </c>
      <c r="B211" s="136"/>
      <c r="C211" s="136" t="s">
        <v>1391</v>
      </c>
      <c r="D211" s="137">
        <v>278000</v>
      </c>
      <c r="E211" s="137">
        <v>278000</v>
      </c>
      <c r="F211" s="167">
        <f t="shared" si="25"/>
        <v>0</v>
      </c>
      <c r="G211" s="202">
        <f t="shared" si="26"/>
        <v>278</v>
      </c>
      <c r="H211" s="122"/>
      <c r="I211" s="122"/>
      <c r="J211" s="122"/>
      <c r="K211" s="122"/>
      <c r="L211" s="122"/>
      <c r="M211" s="122"/>
    </row>
    <row r="212" spans="1:13" ht="94.5">
      <c r="A212" s="135" t="s">
        <v>1392</v>
      </c>
      <c r="B212" s="136"/>
      <c r="C212" s="136" t="s">
        <v>1393</v>
      </c>
      <c r="D212" s="137">
        <v>6765000</v>
      </c>
      <c r="E212" s="137">
        <v>7259293.7300000004</v>
      </c>
      <c r="F212" s="167">
        <f t="shared" si="25"/>
        <v>-494293.73</v>
      </c>
      <c r="G212" s="202">
        <f t="shared" si="26"/>
        <v>7259.3</v>
      </c>
      <c r="H212" s="122"/>
      <c r="I212" s="122"/>
      <c r="J212" s="122"/>
      <c r="K212" s="122"/>
      <c r="L212" s="122"/>
      <c r="M212" s="122"/>
    </row>
    <row r="213" spans="1:13" ht="141.75">
      <c r="A213" s="135" t="s">
        <v>1394</v>
      </c>
      <c r="B213" s="136"/>
      <c r="C213" s="136" t="s">
        <v>1395</v>
      </c>
      <c r="D213" s="137">
        <v>4944000</v>
      </c>
      <c r="E213" s="137">
        <v>4639234.24</v>
      </c>
      <c r="F213" s="167">
        <f t="shared" si="25"/>
        <v>304765.76</v>
      </c>
      <c r="G213" s="202">
        <f t="shared" si="26"/>
        <v>4639.2</v>
      </c>
      <c r="H213" s="122"/>
      <c r="I213" s="122"/>
      <c r="J213" s="122"/>
      <c r="K213" s="122"/>
      <c r="L213" s="122"/>
      <c r="M213" s="122"/>
    </row>
    <row r="214" spans="1:13" ht="63">
      <c r="A214" s="135" t="s">
        <v>1396</v>
      </c>
      <c r="B214" s="136"/>
      <c r="C214" s="136" t="s">
        <v>1397</v>
      </c>
      <c r="D214" s="137">
        <v>564000</v>
      </c>
      <c r="E214" s="137">
        <v>564900</v>
      </c>
      <c r="F214" s="167">
        <f t="shared" si="25"/>
        <v>-900</v>
      </c>
      <c r="G214" s="202">
        <f t="shared" si="26"/>
        <v>564.9</v>
      </c>
      <c r="H214" s="122"/>
      <c r="I214" s="122"/>
      <c r="J214" s="122"/>
      <c r="K214" s="122"/>
      <c r="L214" s="122"/>
      <c r="M214" s="122"/>
    </row>
    <row r="215" spans="1:13" ht="110.25">
      <c r="A215" s="135" t="s">
        <v>1398</v>
      </c>
      <c r="B215" s="136"/>
      <c r="C215" s="136" t="s">
        <v>1399</v>
      </c>
      <c r="D215" s="137">
        <v>3657000</v>
      </c>
      <c r="E215" s="137">
        <v>4677766</v>
      </c>
      <c r="F215" s="167">
        <f t="shared" si="25"/>
        <v>-1020766</v>
      </c>
      <c r="G215" s="202">
        <f t="shared" si="26"/>
        <v>4677.8</v>
      </c>
      <c r="H215" s="122"/>
      <c r="I215" s="122"/>
      <c r="J215" s="122"/>
      <c r="K215" s="122"/>
      <c r="L215" s="122"/>
      <c r="M215" s="122"/>
    </row>
    <row r="216" spans="1:13" ht="141.75">
      <c r="A216" s="135" t="s">
        <v>1400</v>
      </c>
      <c r="B216" s="136"/>
      <c r="C216" s="136" t="s">
        <v>1401</v>
      </c>
      <c r="D216" s="137">
        <v>4100000</v>
      </c>
      <c r="E216" s="137">
        <v>4099007.51</v>
      </c>
      <c r="F216" s="167">
        <f t="shared" si="25"/>
        <v>992.49</v>
      </c>
      <c r="G216" s="202">
        <f t="shared" si="26"/>
        <v>4099</v>
      </c>
      <c r="H216" s="122"/>
      <c r="I216" s="122"/>
      <c r="J216" s="122"/>
      <c r="K216" s="122"/>
      <c r="L216" s="122"/>
      <c r="M216" s="122"/>
    </row>
    <row r="217" spans="1:13" ht="78.75">
      <c r="A217" s="135" t="s">
        <v>1402</v>
      </c>
      <c r="B217" s="136"/>
      <c r="C217" s="136" t="s">
        <v>1403</v>
      </c>
      <c r="D217" s="137"/>
      <c r="E217" s="137">
        <v>63782.080000000002</v>
      </c>
      <c r="F217" s="167">
        <f t="shared" si="25"/>
        <v>-63782.080000000002</v>
      </c>
      <c r="G217" s="202">
        <f t="shared" si="26"/>
        <v>63.8</v>
      </c>
      <c r="H217" s="122"/>
      <c r="I217" s="122"/>
      <c r="J217" s="122"/>
      <c r="K217" s="122"/>
      <c r="L217" s="122"/>
      <c r="M217" s="122"/>
    </row>
    <row r="218" spans="1:13" ht="31.5">
      <c r="A218" s="135" t="s">
        <v>1288</v>
      </c>
      <c r="B218" s="136"/>
      <c r="C218" s="136" t="s">
        <v>1289</v>
      </c>
      <c r="D218" s="137"/>
      <c r="E218" s="137">
        <v>9289</v>
      </c>
      <c r="F218" s="167">
        <f t="shared" si="25"/>
        <v>-9289</v>
      </c>
      <c r="G218" s="202">
        <f t="shared" si="26"/>
        <v>9.3000000000000007</v>
      </c>
      <c r="H218" s="122"/>
      <c r="I218" s="122"/>
      <c r="J218" s="122"/>
      <c r="K218" s="122"/>
      <c r="L218" s="122"/>
      <c r="M218" s="122"/>
    </row>
    <row r="219" spans="1:13" ht="31.5">
      <c r="A219" s="135" t="s">
        <v>1216</v>
      </c>
      <c r="B219" s="136"/>
      <c r="C219" s="136" t="s">
        <v>1217</v>
      </c>
      <c r="D219" s="137">
        <v>290000</v>
      </c>
      <c r="E219" s="137">
        <v>286372.32</v>
      </c>
      <c r="F219" s="167">
        <f t="shared" si="25"/>
        <v>3627.68</v>
      </c>
      <c r="G219" s="202">
        <f t="shared" si="26"/>
        <v>286.39999999999998</v>
      </c>
      <c r="H219" s="122"/>
      <c r="I219" s="122"/>
      <c r="J219" s="122"/>
      <c r="K219" s="122"/>
      <c r="L219" s="122"/>
      <c r="M219" s="122"/>
    </row>
    <row r="220" spans="1:13" s="114" customFormat="1" ht="31.5">
      <c r="A220" s="135" t="s">
        <v>261</v>
      </c>
      <c r="B220" s="136" t="s">
        <v>513</v>
      </c>
      <c r="C220" s="139"/>
      <c r="D220" s="141">
        <f>SUM(D221:D225)</f>
        <v>64448958</v>
      </c>
      <c r="E220" s="141">
        <f>SUM(E221:E225)</f>
        <v>64433769.060000002</v>
      </c>
      <c r="F220" s="169">
        <f t="shared" ref="F220:G220" si="29">SUM(F221:F225)</f>
        <v>15188.94</v>
      </c>
      <c r="G220" s="205">
        <f t="shared" si="29"/>
        <v>64433.8</v>
      </c>
      <c r="H220" s="116"/>
      <c r="I220" s="116"/>
      <c r="J220" s="116"/>
      <c r="K220" s="116"/>
      <c r="L220" s="116"/>
      <c r="M220" s="116"/>
    </row>
    <row r="221" spans="1:13" ht="47.25">
      <c r="A221" s="135" t="s">
        <v>1404</v>
      </c>
      <c r="B221" s="136"/>
      <c r="C221" s="136" t="s">
        <v>1405</v>
      </c>
      <c r="D221" s="137">
        <v>19000</v>
      </c>
      <c r="E221" s="137">
        <v>3000</v>
      </c>
      <c r="F221" s="167">
        <f t="shared" si="25"/>
        <v>16000</v>
      </c>
      <c r="G221" s="202">
        <f t="shared" si="26"/>
        <v>3</v>
      </c>
      <c r="H221" s="122"/>
      <c r="I221" s="122"/>
      <c r="J221" s="122"/>
      <c r="K221" s="122"/>
      <c r="L221" s="122"/>
      <c r="M221" s="122"/>
    </row>
    <row r="222" spans="1:13" ht="31.5">
      <c r="A222" s="135" t="s">
        <v>1216</v>
      </c>
      <c r="B222" s="136"/>
      <c r="C222" s="136" t="s">
        <v>1217</v>
      </c>
      <c r="D222" s="137"/>
      <c r="E222" s="137">
        <v>811.06</v>
      </c>
      <c r="F222" s="167">
        <f t="shared" si="25"/>
        <v>-811.06</v>
      </c>
      <c r="G222" s="202">
        <f t="shared" si="26"/>
        <v>0.8</v>
      </c>
      <c r="H222" s="122"/>
      <c r="I222" s="122"/>
      <c r="J222" s="122"/>
      <c r="K222" s="122"/>
      <c r="L222" s="122"/>
      <c r="M222" s="122"/>
    </row>
    <row r="223" spans="1:13" ht="31.5">
      <c r="A223" s="207" t="s">
        <v>1260</v>
      </c>
      <c r="B223" s="136"/>
      <c r="C223" s="136" t="s">
        <v>1261</v>
      </c>
      <c r="D223" s="141">
        <v>2200000</v>
      </c>
      <c r="E223" s="141">
        <v>2200000</v>
      </c>
      <c r="F223" s="167">
        <f t="shared" si="25"/>
        <v>0</v>
      </c>
      <c r="G223" s="202">
        <f t="shared" si="26"/>
        <v>2200</v>
      </c>
      <c r="H223" s="122"/>
      <c r="I223" s="122"/>
      <c r="J223" s="122"/>
      <c r="K223" s="122"/>
      <c r="L223" s="122"/>
      <c r="M223" s="122"/>
    </row>
    <row r="224" spans="1:13" ht="94.5">
      <c r="A224" s="207" t="s">
        <v>1296</v>
      </c>
      <c r="B224" s="136"/>
      <c r="C224" s="136" t="s">
        <v>1297</v>
      </c>
      <c r="D224" s="141">
        <v>57500000</v>
      </c>
      <c r="E224" s="141">
        <v>57500000</v>
      </c>
      <c r="F224" s="167">
        <f t="shared" si="25"/>
        <v>0</v>
      </c>
      <c r="G224" s="202">
        <f t="shared" si="26"/>
        <v>57500</v>
      </c>
      <c r="H224" s="122"/>
      <c r="I224" s="122"/>
      <c r="J224" s="122"/>
      <c r="K224" s="122"/>
      <c r="L224" s="122"/>
      <c r="M224" s="122"/>
    </row>
    <row r="225" spans="1:13" ht="78.75">
      <c r="A225" s="206" t="s">
        <v>1406</v>
      </c>
      <c r="B225" s="136"/>
      <c r="C225" s="136" t="s">
        <v>1407</v>
      </c>
      <c r="D225" s="141">
        <v>4729958</v>
      </c>
      <c r="E225" s="141">
        <v>4729958</v>
      </c>
      <c r="F225" s="167">
        <f t="shared" si="25"/>
        <v>0</v>
      </c>
      <c r="G225" s="202">
        <f t="shared" si="26"/>
        <v>4730</v>
      </c>
      <c r="H225" s="122"/>
      <c r="I225" s="122"/>
      <c r="J225" s="122"/>
      <c r="K225" s="122"/>
      <c r="L225" s="122"/>
      <c r="M225" s="122"/>
    </row>
    <row r="226" spans="1:13" s="114" customFormat="1">
      <c r="A226" s="135" t="s">
        <v>266</v>
      </c>
      <c r="B226" s="136" t="s">
        <v>1408</v>
      </c>
      <c r="C226" s="139"/>
      <c r="D226" s="141">
        <f>SUM(D227:D229)</f>
        <v>510000</v>
      </c>
      <c r="E226" s="141">
        <f>SUM(E227:E229)</f>
        <v>517598.07</v>
      </c>
      <c r="F226" s="169">
        <f t="shared" ref="F226:G226" si="30">SUM(F227:F229)</f>
        <v>-7598.07</v>
      </c>
      <c r="G226" s="205">
        <f t="shared" si="30"/>
        <v>517.6</v>
      </c>
      <c r="H226" s="116"/>
      <c r="I226" s="116"/>
      <c r="J226" s="116"/>
      <c r="K226" s="116"/>
      <c r="L226" s="116"/>
      <c r="M226" s="116"/>
    </row>
    <row r="227" spans="1:13" ht="63">
      <c r="A227" s="138" t="s">
        <v>1363</v>
      </c>
      <c r="B227" s="136"/>
      <c r="C227" s="143" t="s">
        <v>1343</v>
      </c>
      <c r="D227" s="137"/>
      <c r="E227" s="137">
        <v>3600</v>
      </c>
      <c r="F227" s="167">
        <f t="shared" si="25"/>
        <v>-3600</v>
      </c>
      <c r="G227" s="202">
        <f t="shared" si="26"/>
        <v>3.6</v>
      </c>
      <c r="H227" s="122"/>
      <c r="I227" s="122"/>
      <c r="J227" s="122"/>
      <c r="K227" s="122"/>
      <c r="L227" s="122"/>
      <c r="M227" s="122"/>
    </row>
    <row r="228" spans="1:13" ht="31.5">
      <c r="A228" s="135" t="s">
        <v>1288</v>
      </c>
      <c r="B228" s="136"/>
      <c r="C228" s="136" t="s">
        <v>1289</v>
      </c>
      <c r="D228" s="137"/>
      <c r="E228" s="137">
        <v>3803.91</v>
      </c>
      <c r="F228" s="167">
        <f t="shared" si="25"/>
        <v>-3803.91</v>
      </c>
      <c r="G228" s="202">
        <f t="shared" si="26"/>
        <v>3.8</v>
      </c>
      <c r="H228" s="122"/>
      <c r="I228" s="122"/>
      <c r="J228" s="122"/>
      <c r="K228" s="122"/>
      <c r="L228" s="122"/>
      <c r="M228" s="122"/>
    </row>
    <row r="229" spans="1:13" ht="31.5">
      <c r="A229" s="135" t="s">
        <v>1216</v>
      </c>
      <c r="B229" s="136"/>
      <c r="C229" s="136" t="s">
        <v>1217</v>
      </c>
      <c r="D229" s="137">
        <v>510000</v>
      </c>
      <c r="E229" s="137">
        <v>510194.16</v>
      </c>
      <c r="F229" s="167">
        <f t="shared" si="25"/>
        <v>-194.16</v>
      </c>
      <c r="G229" s="202">
        <f t="shared" si="26"/>
        <v>510.2</v>
      </c>
      <c r="H229" s="122"/>
      <c r="I229" s="122"/>
      <c r="J229" s="122"/>
      <c r="K229" s="122"/>
      <c r="L229" s="122"/>
      <c r="M229" s="122"/>
    </row>
    <row r="230" spans="1:13" s="114" customFormat="1">
      <c r="A230" s="135" t="s">
        <v>267</v>
      </c>
      <c r="B230" s="136" t="s">
        <v>514</v>
      </c>
      <c r="C230" s="136"/>
      <c r="D230" s="141">
        <f>SUM(D231:D231)</f>
        <v>37000</v>
      </c>
      <c r="E230" s="141">
        <f>SUM(E231:E231)</f>
        <v>38608.74</v>
      </c>
      <c r="F230" s="169">
        <f t="shared" ref="F230:G230" si="31">SUM(F231:F231)</f>
        <v>-1608.74</v>
      </c>
      <c r="G230" s="205">
        <f t="shared" si="31"/>
        <v>38.6</v>
      </c>
      <c r="H230" s="116"/>
      <c r="I230" s="116"/>
      <c r="J230" s="116"/>
      <c r="K230" s="116"/>
      <c r="L230" s="116"/>
      <c r="M230" s="116"/>
    </row>
    <row r="231" spans="1:13" ht="110.25">
      <c r="A231" s="135" t="s">
        <v>1409</v>
      </c>
      <c r="B231" s="136"/>
      <c r="C231" s="136" t="s">
        <v>1410</v>
      </c>
      <c r="D231" s="137">
        <v>37000</v>
      </c>
      <c r="E231" s="137">
        <v>38608.74</v>
      </c>
      <c r="F231" s="167">
        <f t="shared" si="25"/>
        <v>-1608.74</v>
      </c>
      <c r="G231" s="202">
        <f t="shared" si="26"/>
        <v>38.6</v>
      </c>
      <c r="H231" s="122"/>
      <c r="I231" s="122"/>
      <c r="J231" s="122"/>
      <c r="K231" s="122"/>
      <c r="L231" s="122"/>
      <c r="M231" s="122"/>
    </row>
    <row r="232" spans="1:13" s="114" customFormat="1">
      <c r="A232" s="135" t="s">
        <v>269</v>
      </c>
      <c r="B232" s="136" t="s">
        <v>515</v>
      </c>
      <c r="C232" s="136"/>
      <c r="D232" s="141">
        <f>D233</f>
        <v>0</v>
      </c>
      <c r="E232" s="141">
        <f>SUM(E233:E233)</f>
        <v>34650.629999999997</v>
      </c>
      <c r="F232" s="169">
        <f t="shared" ref="F232:G232" si="32">SUM(F233:F233)</f>
        <v>-34650.629999999997</v>
      </c>
      <c r="G232" s="205">
        <f t="shared" si="32"/>
        <v>34.700000000000003</v>
      </c>
      <c r="H232" s="116"/>
      <c r="I232" s="116"/>
      <c r="J232" s="116"/>
      <c r="K232" s="116"/>
      <c r="L232" s="116"/>
      <c r="M232" s="116"/>
    </row>
    <row r="233" spans="1:13" ht="31.5">
      <c r="A233" s="135" t="s">
        <v>1216</v>
      </c>
      <c r="B233" s="136"/>
      <c r="C233" s="136" t="s">
        <v>1217</v>
      </c>
      <c r="D233" s="137"/>
      <c r="E233" s="137">
        <v>34650.629999999997</v>
      </c>
      <c r="F233" s="167">
        <f t="shared" si="25"/>
        <v>-34650.629999999997</v>
      </c>
      <c r="G233" s="202">
        <f t="shared" si="26"/>
        <v>34.700000000000003</v>
      </c>
      <c r="H233" s="122"/>
      <c r="I233" s="122"/>
      <c r="J233" s="122"/>
      <c r="K233" s="122"/>
      <c r="L233" s="122"/>
      <c r="M233" s="122"/>
    </row>
    <row r="234" spans="1:13" s="114" customFormat="1" ht="31.5">
      <c r="A234" s="135" t="s">
        <v>272</v>
      </c>
      <c r="B234" s="136" t="s">
        <v>1411</v>
      </c>
      <c r="C234" s="139"/>
      <c r="D234" s="141">
        <f>SUM(D235:D236)</f>
        <v>1550000</v>
      </c>
      <c r="E234" s="141">
        <f>SUM(E235:E236)</f>
        <v>1255768.72</v>
      </c>
      <c r="F234" s="169">
        <f t="shared" ref="F234:G234" si="33">SUM(F235:F236)</f>
        <v>294231.28000000003</v>
      </c>
      <c r="G234" s="205">
        <f t="shared" si="33"/>
        <v>1255.8</v>
      </c>
      <c r="H234" s="116"/>
      <c r="I234" s="116"/>
      <c r="J234" s="116"/>
      <c r="K234" s="116"/>
      <c r="L234" s="116"/>
      <c r="M234" s="116"/>
    </row>
    <row r="235" spans="1:13" ht="31.5">
      <c r="A235" s="135" t="s">
        <v>1212</v>
      </c>
      <c r="B235" s="136"/>
      <c r="C235" s="136" t="s">
        <v>1213</v>
      </c>
      <c r="D235" s="137">
        <v>1550000</v>
      </c>
      <c r="E235" s="137">
        <v>1255768.72</v>
      </c>
      <c r="F235" s="167">
        <f t="shared" si="25"/>
        <v>294231.28000000003</v>
      </c>
      <c r="G235" s="202">
        <f t="shared" si="26"/>
        <v>1255.8</v>
      </c>
      <c r="H235" s="122"/>
      <c r="I235" s="122"/>
      <c r="J235" s="122"/>
      <c r="K235" s="122"/>
      <c r="L235" s="122"/>
      <c r="M235" s="122"/>
    </row>
    <row r="236" spans="1:13" ht="31.5">
      <c r="A236" s="135" t="s">
        <v>1288</v>
      </c>
      <c r="B236" s="136"/>
      <c r="C236" s="136" t="s">
        <v>1289</v>
      </c>
      <c r="D236" s="137"/>
      <c r="E236" s="137"/>
      <c r="F236" s="167">
        <f t="shared" si="25"/>
        <v>0</v>
      </c>
      <c r="G236" s="202">
        <f t="shared" si="26"/>
        <v>0</v>
      </c>
      <c r="H236" s="122"/>
      <c r="I236" s="122"/>
      <c r="J236" s="122"/>
      <c r="K236" s="122"/>
      <c r="L236" s="122"/>
      <c r="M236" s="122"/>
    </row>
    <row r="237" spans="1:13" s="114" customFormat="1">
      <c r="A237" s="135" t="s">
        <v>278</v>
      </c>
      <c r="B237" s="136" t="s">
        <v>1412</v>
      </c>
      <c r="C237" s="139"/>
      <c r="D237" s="141">
        <f>SUM(D238:D242)</f>
        <v>24587157.940000001</v>
      </c>
      <c r="E237" s="141">
        <f>SUM(E238:E242)</f>
        <v>24662011.84</v>
      </c>
      <c r="F237" s="169">
        <f t="shared" ref="F237:G237" si="34">SUM(F238:F242)</f>
        <v>-74853.899999999994</v>
      </c>
      <c r="G237" s="205">
        <f t="shared" si="34"/>
        <v>24662</v>
      </c>
      <c r="H237" s="116"/>
      <c r="I237" s="116"/>
      <c r="J237" s="116"/>
      <c r="K237" s="116"/>
      <c r="L237" s="116"/>
      <c r="M237" s="116"/>
    </row>
    <row r="238" spans="1:13" ht="31.5">
      <c r="A238" s="135" t="s">
        <v>1212</v>
      </c>
      <c r="B238" s="136"/>
      <c r="C238" s="136" t="s">
        <v>1213</v>
      </c>
      <c r="D238" s="137">
        <v>1600000</v>
      </c>
      <c r="E238" s="137">
        <v>1683360.62</v>
      </c>
      <c r="F238" s="167">
        <f t="shared" si="25"/>
        <v>-83360.62</v>
      </c>
      <c r="G238" s="202">
        <f t="shared" si="26"/>
        <v>1683.4</v>
      </c>
      <c r="H238" s="122"/>
      <c r="I238" s="122"/>
      <c r="J238" s="122"/>
      <c r="K238" s="122"/>
      <c r="L238" s="122"/>
      <c r="M238" s="122"/>
    </row>
    <row r="239" spans="1:13" ht="31.5">
      <c r="A239" s="135" t="s">
        <v>1216</v>
      </c>
      <c r="B239" s="136"/>
      <c r="C239" s="136" t="s">
        <v>1217</v>
      </c>
      <c r="D239" s="137">
        <v>106000</v>
      </c>
      <c r="E239" s="137">
        <v>106337.63</v>
      </c>
      <c r="F239" s="167">
        <f t="shared" si="25"/>
        <v>-337.63</v>
      </c>
      <c r="G239" s="202">
        <f t="shared" si="26"/>
        <v>106.3</v>
      </c>
      <c r="H239" s="122"/>
      <c r="I239" s="122"/>
      <c r="J239" s="122"/>
      <c r="K239" s="122"/>
      <c r="L239" s="122"/>
      <c r="M239" s="122"/>
    </row>
    <row r="240" spans="1:13" ht="47.25">
      <c r="A240" s="135" t="s">
        <v>1413</v>
      </c>
      <c r="B240" s="136"/>
      <c r="C240" s="136" t="s">
        <v>1414</v>
      </c>
      <c r="D240" s="141">
        <v>18962000</v>
      </c>
      <c r="E240" s="141">
        <v>18962000</v>
      </c>
      <c r="F240" s="167">
        <f t="shared" si="25"/>
        <v>0</v>
      </c>
      <c r="G240" s="202">
        <f t="shared" si="26"/>
        <v>18962</v>
      </c>
      <c r="H240" s="122"/>
      <c r="I240" s="122"/>
      <c r="J240" s="122"/>
      <c r="K240" s="122"/>
      <c r="L240" s="122"/>
      <c r="M240" s="122"/>
    </row>
    <row r="241" spans="1:13" ht="63">
      <c r="A241" s="135" t="s">
        <v>1415</v>
      </c>
      <c r="B241" s="136"/>
      <c r="C241" s="136" t="s">
        <v>1416</v>
      </c>
      <c r="D241" s="141">
        <v>1639918.94</v>
      </c>
      <c r="E241" s="141">
        <v>1635636.54</v>
      </c>
      <c r="F241" s="167">
        <f t="shared" si="25"/>
        <v>4282.3999999999996</v>
      </c>
      <c r="G241" s="202">
        <f t="shared" si="26"/>
        <v>1635.6</v>
      </c>
      <c r="H241" s="122"/>
      <c r="I241" s="122"/>
      <c r="J241" s="122"/>
      <c r="K241" s="122"/>
      <c r="L241" s="122"/>
      <c r="M241" s="122"/>
    </row>
    <row r="242" spans="1:13" ht="63">
      <c r="A242" s="135" t="s">
        <v>1417</v>
      </c>
      <c r="B242" s="136"/>
      <c r="C242" s="136" t="s">
        <v>1418</v>
      </c>
      <c r="D242" s="141">
        <v>2279239</v>
      </c>
      <c r="E242" s="141">
        <v>2274677.0499999998</v>
      </c>
      <c r="F242" s="167">
        <f t="shared" si="25"/>
        <v>4561.95</v>
      </c>
      <c r="G242" s="202">
        <f t="shared" si="26"/>
        <v>2274.6999999999998</v>
      </c>
      <c r="H242" s="122"/>
      <c r="I242" s="122"/>
      <c r="J242" s="122"/>
      <c r="K242" s="122"/>
      <c r="L242" s="122"/>
      <c r="M242" s="122"/>
    </row>
    <row r="243" spans="1:13" s="114" customFormat="1">
      <c r="A243" s="135" t="s">
        <v>291</v>
      </c>
      <c r="B243" s="136" t="s">
        <v>1419</v>
      </c>
      <c r="C243" s="139"/>
      <c r="D243" s="141">
        <f>SUM(D244:D257)</f>
        <v>363185486.08999997</v>
      </c>
      <c r="E243" s="141">
        <f>SUM(E244:E257)</f>
        <v>362351989.73000002</v>
      </c>
      <c r="F243" s="169">
        <f t="shared" ref="F243:G243" si="35">SUM(F244:F257)</f>
        <v>833496.36</v>
      </c>
      <c r="G243" s="205">
        <f t="shared" si="35"/>
        <v>362352</v>
      </c>
      <c r="H243" s="116"/>
      <c r="I243" s="116"/>
      <c r="J243" s="116"/>
      <c r="K243" s="116"/>
      <c r="L243" s="116"/>
      <c r="M243" s="116"/>
    </row>
    <row r="244" spans="1:13" ht="94.5">
      <c r="A244" s="135" t="s">
        <v>1209</v>
      </c>
      <c r="B244" s="136"/>
      <c r="C244" s="136" t="s">
        <v>1211</v>
      </c>
      <c r="D244" s="137">
        <v>20000</v>
      </c>
      <c r="E244" s="137">
        <v>39600</v>
      </c>
      <c r="F244" s="167">
        <f t="shared" si="25"/>
        <v>-19600</v>
      </c>
      <c r="G244" s="202">
        <f t="shared" si="26"/>
        <v>39.6</v>
      </c>
      <c r="H244" s="122"/>
      <c r="I244" s="122"/>
      <c r="J244" s="122"/>
      <c r="K244" s="122"/>
      <c r="L244" s="122"/>
      <c r="M244" s="122"/>
    </row>
    <row r="245" spans="1:13" ht="78.75">
      <c r="A245" s="135" t="s">
        <v>1256</v>
      </c>
      <c r="B245" s="136"/>
      <c r="C245" s="136" t="s">
        <v>1257</v>
      </c>
      <c r="D245" s="137">
        <v>90000</v>
      </c>
      <c r="E245" s="137">
        <v>104000</v>
      </c>
      <c r="F245" s="167">
        <f t="shared" si="25"/>
        <v>-14000</v>
      </c>
      <c r="G245" s="202">
        <f t="shared" si="26"/>
        <v>104</v>
      </c>
      <c r="H245" s="122"/>
      <c r="I245" s="122"/>
      <c r="J245" s="122"/>
      <c r="K245" s="122"/>
      <c r="L245" s="122"/>
      <c r="M245" s="122"/>
    </row>
    <row r="246" spans="1:13" ht="78.75">
      <c r="A246" s="138" t="s">
        <v>1420</v>
      </c>
      <c r="B246" s="136"/>
      <c r="C246" s="136" t="s">
        <v>1421</v>
      </c>
      <c r="D246" s="137">
        <v>100000</v>
      </c>
      <c r="E246" s="137">
        <v>135000</v>
      </c>
      <c r="F246" s="167">
        <f t="shared" si="25"/>
        <v>-35000</v>
      </c>
      <c r="G246" s="202">
        <f t="shared" si="26"/>
        <v>135</v>
      </c>
      <c r="H246" s="122"/>
      <c r="I246" s="122"/>
      <c r="J246" s="122"/>
      <c r="K246" s="122"/>
      <c r="L246" s="122"/>
      <c r="M246" s="122"/>
    </row>
    <row r="247" spans="1:13" ht="31.5">
      <c r="A247" s="135" t="s">
        <v>1422</v>
      </c>
      <c r="B247" s="136"/>
      <c r="C247" s="136" t="s">
        <v>1423</v>
      </c>
      <c r="D247" s="137">
        <v>200000</v>
      </c>
      <c r="E247" s="137">
        <v>193573</v>
      </c>
      <c r="F247" s="167">
        <f t="shared" si="25"/>
        <v>6427</v>
      </c>
      <c r="G247" s="202">
        <f t="shared" si="26"/>
        <v>193.6</v>
      </c>
      <c r="H247" s="122"/>
      <c r="I247" s="122"/>
      <c r="J247" s="122"/>
      <c r="K247" s="122"/>
      <c r="L247" s="122"/>
      <c r="M247" s="122"/>
    </row>
    <row r="248" spans="1:13" ht="63">
      <c r="A248" s="138" t="s">
        <v>1424</v>
      </c>
      <c r="B248" s="136"/>
      <c r="C248" s="136" t="s">
        <v>1425</v>
      </c>
      <c r="D248" s="137">
        <v>2789000</v>
      </c>
      <c r="E248" s="137">
        <v>2354801.9300000002</v>
      </c>
      <c r="F248" s="167">
        <f t="shared" si="25"/>
        <v>434198.07</v>
      </c>
      <c r="G248" s="202">
        <f t="shared" si="26"/>
        <v>2354.8000000000002</v>
      </c>
      <c r="H248" s="122"/>
      <c r="I248" s="122"/>
      <c r="J248" s="122"/>
      <c r="K248" s="122"/>
      <c r="L248" s="122"/>
      <c r="M248" s="122"/>
    </row>
    <row r="249" spans="1:13" ht="47.25">
      <c r="A249" s="138" t="s">
        <v>1426</v>
      </c>
      <c r="B249" s="136"/>
      <c r="C249" s="136" t="s">
        <v>1427</v>
      </c>
      <c r="D249" s="137">
        <v>13832000</v>
      </c>
      <c r="E249" s="137">
        <v>13169202.720000001</v>
      </c>
      <c r="F249" s="167">
        <f t="shared" si="25"/>
        <v>662797.28</v>
      </c>
      <c r="G249" s="202">
        <f t="shared" si="26"/>
        <v>13169.2</v>
      </c>
      <c r="H249" s="122"/>
      <c r="I249" s="122"/>
      <c r="J249" s="122"/>
      <c r="K249" s="122"/>
      <c r="L249" s="122"/>
      <c r="M249" s="122"/>
    </row>
    <row r="250" spans="1:13" ht="63">
      <c r="A250" s="138" t="s">
        <v>1428</v>
      </c>
      <c r="B250" s="136"/>
      <c r="C250" s="136" t="s">
        <v>1429</v>
      </c>
      <c r="D250" s="137">
        <v>15844000</v>
      </c>
      <c r="E250" s="137">
        <v>15963736.890000001</v>
      </c>
      <c r="F250" s="167">
        <f t="shared" si="25"/>
        <v>-119736.89</v>
      </c>
      <c r="G250" s="202">
        <f t="shared" si="26"/>
        <v>15963.7</v>
      </c>
      <c r="H250" s="122"/>
      <c r="I250" s="122"/>
      <c r="J250" s="122"/>
      <c r="K250" s="122"/>
      <c r="L250" s="122"/>
      <c r="M250" s="122"/>
    </row>
    <row r="251" spans="1:13" ht="47.25">
      <c r="A251" s="135" t="s">
        <v>1388</v>
      </c>
      <c r="B251" s="136"/>
      <c r="C251" s="136" t="s">
        <v>1389</v>
      </c>
      <c r="D251" s="137">
        <v>100000</v>
      </c>
      <c r="E251" s="137">
        <v>154426.51</v>
      </c>
      <c r="F251" s="167">
        <f t="shared" si="25"/>
        <v>-54426.51</v>
      </c>
      <c r="G251" s="202">
        <f t="shared" si="26"/>
        <v>154.4</v>
      </c>
      <c r="H251" s="122"/>
      <c r="I251" s="122"/>
      <c r="J251" s="122"/>
      <c r="K251" s="122"/>
      <c r="L251" s="122"/>
      <c r="M251" s="122"/>
    </row>
    <row r="252" spans="1:13" ht="63">
      <c r="A252" s="135" t="s">
        <v>1214</v>
      </c>
      <c r="B252" s="136"/>
      <c r="C252" s="136" t="s">
        <v>1215</v>
      </c>
      <c r="D252" s="137">
        <v>3800000</v>
      </c>
      <c r="E252" s="137">
        <v>3827162.59</v>
      </c>
      <c r="F252" s="167">
        <f t="shared" si="25"/>
        <v>-27162.59</v>
      </c>
      <c r="G252" s="202">
        <f t="shared" si="26"/>
        <v>3827.2</v>
      </c>
      <c r="H252" s="122"/>
      <c r="I252" s="122"/>
      <c r="J252" s="122"/>
      <c r="K252" s="122"/>
      <c r="L252" s="122"/>
      <c r="M252" s="122"/>
    </row>
    <row r="253" spans="1:13" ht="31.5">
      <c r="A253" s="207" t="s">
        <v>1260</v>
      </c>
      <c r="B253" s="136"/>
      <c r="C253" s="136" t="s">
        <v>1261</v>
      </c>
      <c r="D253" s="141">
        <v>23733200</v>
      </c>
      <c r="E253" s="141">
        <v>23733200</v>
      </c>
      <c r="F253" s="167">
        <f t="shared" si="25"/>
        <v>0</v>
      </c>
      <c r="G253" s="202">
        <f t="shared" si="26"/>
        <v>23733.200000000001</v>
      </c>
      <c r="H253" s="122"/>
      <c r="I253" s="122"/>
      <c r="J253" s="122"/>
      <c r="K253" s="122"/>
      <c r="L253" s="122"/>
      <c r="M253" s="122"/>
    </row>
    <row r="254" spans="1:13" ht="94.5">
      <c r="A254" s="207" t="s">
        <v>1296</v>
      </c>
      <c r="B254" s="136"/>
      <c r="C254" s="136" t="s">
        <v>1297</v>
      </c>
      <c r="D254" s="141">
        <v>48760000</v>
      </c>
      <c r="E254" s="141">
        <v>48760000</v>
      </c>
      <c r="F254" s="167">
        <f t="shared" si="25"/>
        <v>0</v>
      </c>
      <c r="G254" s="202">
        <f t="shared" si="26"/>
        <v>48760</v>
      </c>
      <c r="H254" s="122"/>
      <c r="I254" s="122"/>
      <c r="J254" s="122"/>
      <c r="K254" s="122"/>
      <c r="L254" s="122"/>
      <c r="M254" s="122"/>
    </row>
    <row r="255" spans="1:13" ht="47.25">
      <c r="A255" s="135" t="s">
        <v>1430</v>
      </c>
      <c r="B255" s="136"/>
      <c r="C255" s="136" t="s">
        <v>1431</v>
      </c>
      <c r="D255" s="141">
        <v>246490100</v>
      </c>
      <c r="E255" s="141">
        <v>246490100</v>
      </c>
      <c r="F255" s="167">
        <f t="shared" si="25"/>
        <v>0</v>
      </c>
      <c r="G255" s="202">
        <f t="shared" si="26"/>
        <v>246490.1</v>
      </c>
      <c r="H255" s="122"/>
      <c r="I255" s="122"/>
      <c r="J255" s="122"/>
      <c r="K255" s="122"/>
      <c r="L255" s="122"/>
      <c r="M255" s="122"/>
    </row>
    <row r="256" spans="1:13" ht="47.25">
      <c r="A256" s="135" t="s">
        <v>1432</v>
      </c>
      <c r="B256" s="136"/>
      <c r="C256" s="136" t="s">
        <v>1433</v>
      </c>
      <c r="D256" s="141">
        <v>7457600</v>
      </c>
      <c r="E256" s="141">
        <v>7457600</v>
      </c>
      <c r="F256" s="167">
        <f t="shared" si="25"/>
        <v>0</v>
      </c>
      <c r="G256" s="202">
        <f t="shared" si="26"/>
        <v>7457.6</v>
      </c>
      <c r="H256" s="122"/>
      <c r="I256" s="122"/>
      <c r="J256" s="122"/>
      <c r="K256" s="122"/>
      <c r="L256" s="122"/>
      <c r="M256" s="122"/>
    </row>
    <row r="257" spans="1:13" ht="63">
      <c r="A257" s="135" t="s">
        <v>1244</v>
      </c>
      <c r="B257" s="136"/>
      <c r="C257" s="136" t="s">
        <v>1245</v>
      </c>
      <c r="D257" s="141">
        <v>-30413.91</v>
      </c>
      <c r="E257" s="141">
        <v>-30413.91</v>
      </c>
      <c r="F257" s="167">
        <f t="shared" si="25"/>
        <v>0</v>
      </c>
      <c r="G257" s="202">
        <f t="shared" si="26"/>
        <v>-30.4</v>
      </c>
      <c r="H257" s="122"/>
      <c r="I257" s="122"/>
      <c r="J257" s="122"/>
      <c r="K257" s="122"/>
      <c r="L257" s="122"/>
      <c r="M257" s="122"/>
    </row>
    <row r="258" spans="1:13" s="114" customFormat="1" ht="47.25">
      <c r="A258" s="135" t="s">
        <v>305</v>
      </c>
      <c r="B258" s="136" t="s">
        <v>516</v>
      </c>
      <c r="C258" s="139"/>
      <c r="D258" s="141">
        <f>SUM(D259:D262)</f>
        <v>510000</v>
      </c>
      <c r="E258" s="141">
        <f>SUM(E259:E262)</f>
        <v>562924</v>
      </c>
      <c r="F258" s="169">
        <f t="shared" ref="F258:G258" si="36">SUM(F259:F262)</f>
        <v>-52924</v>
      </c>
      <c r="G258" s="205">
        <f t="shared" si="36"/>
        <v>563</v>
      </c>
      <c r="H258" s="116"/>
      <c r="I258" s="116"/>
      <c r="J258" s="116"/>
      <c r="K258" s="116"/>
      <c r="L258" s="116"/>
      <c r="M258" s="116"/>
    </row>
    <row r="259" spans="1:13" ht="78.75">
      <c r="A259" s="135" t="s">
        <v>1256</v>
      </c>
      <c r="B259" s="136"/>
      <c r="C259" s="136" t="s">
        <v>1434</v>
      </c>
      <c r="D259" s="137">
        <v>60000</v>
      </c>
      <c r="E259" s="137">
        <v>56100</v>
      </c>
      <c r="F259" s="167">
        <f t="shared" si="25"/>
        <v>3900</v>
      </c>
      <c r="G259" s="202">
        <f t="shared" si="26"/>
        <v>56.1</v>
      </c>
      <c r="H259" s="122"/>
      <c r="I259" s="122"/>
      <c r="J259" s="122"/>
      <c r="K259" s="122"/>
      <c r="L259" s="122"/>
      <c r="M259" s="122"/>
    </row>
    <row r="260" spans="1:13" ht="47.25">
      <c r="A260" s="135" t="s">
        <v>1388</v>
      </c>
      <c r="B260" s="136"/>
      <c r="C260" s="136" t="s">
        <v>1389</v>
      </c>
      <c r="D260" s="137"/>
      <c r="E260" s="137">
        <v>6700</v>
      </c>
      <c r="F260" s="167">
        <f t="shared" si="25"/>
        <v>-6700</v>
      </c>
      <c r="G260" s="202">
        <f t="shared" si="26"/>
        <v>6.7</v>
      </c>
      <c r="H260" s="122"/>
      <c r="I260" s="122"/>
      <c r="J260" s="122"/>
      <c r="K260" s="122"/>
      <c r="L260" s="122"/>
      <c r="M260" s="122"/>
    </row>
    <row r="261" spans="1:13" ht="47.25">
      <c r="A261" s="135" t="s">
        <v>1435</v>
      </c>
      <c r="B261" s="136"/>
      <c r="C261" s="136" t="s">
        <v>1436</v>
      </c>
      <c r="D261" s="137">
        <v>450000</v>
      </c>
      <c r="E261" s="137">
        <v>492250</v>
      </c>
      <c r="F261" s="167">
        <f t="shared" si="25"/>
        <v>-42250</v>
      </c>
      <c r="G261" s="202">
        <f t="shared" si="26"/>
        <v>492.3</v>
      </c>
      <c r="H261" s="122"/>
      <c r="I261" s="122"/>
      <c r="J261" s="122"/>
      <c r="K261" s="122"/>
      <c r="L261" s="122"/>
      <c r="M261" s="122"/>
    </row>
    <row r="262" spans="1:13" s="192" customFormat="1" ht="31.5">
      <c r="A262" s="188" t="s">
        <v>1288</v>
      </c>
      <c r="B262" s="189"/>
      <c r="C262" s="189" t="s">
        <v>1289</v>
      </c>
      <c r="D262" s="141"/>
      <c r="E262" s="141">
        <v>7874</v>
      </c>
      <c r="F262" s="190">
        <f t="shared" si="25"/>
        <v>-7874</v>
      </c>
      <c r="G262" s="213">
        <f t="shared" si="26"/>
        <v>7.9</v>
      </c>
      <c r="H262" s="191"/>
      <c r="I262" s="191"/>
      <c r="J262" s="191"/>
      <c r="K262" s="191"/>
      <c r="L262" s="191"/>
      <c r="M262" s="191"/>
    </row>
    <row r="263" spans="1:13" s="114" customFormat="1" ht="78.75">
      <c r="A263" s="135" t="s">
        <v>1437</v>
      </c>
      <c r="B263" s="136" t="s">
        <v>1438</v>
      </c>
      <c r="C263" s="139"/>
      <c r="D263" s="141">
        <f>SUM(D264:D265)</f>
        <v>3760000</v>
      </c>
      <c r="E263" s="141">
        <f>SUM(E264:E265)</f>
        <v>3055241.31</v>
      </c>
      <c r="F263" s="169">
        <f t="shared" ref="F263:G263" si="37">SUM(F264:F265)</f>
        <v>704758.69</v>
      </c>
      <c r="G263" s="205">
        <f t="shared" si="37"/>
        <v>3055.3</v>
      </c>
      <c r="H263" s="116"/>
      <c r="I263" s="116"/>
      <c r="J263" s="116"/>
      <c r="K263" s="116"/>
      <c r="L263" s="116"/>
      <c r="M263" s="116"/>
    </row>
    <row r="264" spans="1:13" ht="47.25">
      <c r="A264" s="135" t="s">
        <v>1388</v>
      </c>
      <c r="B264" s="136"/>
      <c r="C264" s="136" t="s">
        <v>1389</v>
      </c>
      <c r="D264" s="137">
        <v>3760000</v>
      </c>
      <c r="E264" s="137">
        <v>3051373.02</v>
      </c>
      <c r="F264" s="167">
        <f t="shared" si="25"/>
        <v>708626.98</v>
      </c>
      <c r="G264" s="202">
        <f t="shared" si="26"/>
        <v>3051.4</v>
      </c>
      <c r="H264" s="122"/>
      <c r="I264" s="122"/>
      <c r="J264" s="122"/>
      <c r="K264" s="122"/>
      <c r="L264" s="122"/>
      <c r="M264" s="122"/>
    </row>
    <row r="265" spans="1:13" ht="63">
      <c r="A265" s="135" t="s">
        <v>1214</v>
      </c>
      <c r="B265" s="136"/>
      <c r="C265" s="136" t="s">
        <v>1215</v>
      </c>
      <c r="D265" s="137"/>
      <c r="E265" s="137">
        <v>3868.29</v>
      </c>
      <c r="F265" s="167">
        <f t="shared" si="25"/>
        <v>-3868.29</v>
      </c>
      <c r="G265" s="202">
        <f t="shared" si="26"/>
        <v>3.9</v>
      </c>
      <c r="H265" s="122"/>
      <c r="I265" s="122"/>
      <c r="J265" s="122"/>
      <c r="K265" s="122"/>
      <c r="L265" s="122"/>
      <c r="M265" s="122"/>
    </row>
    <row r="266" spans="1:13" s="114" customFormat="1">
      <c r="A266" s="135" t="s">
        <v>1439</v>
      </c>
      <c r="B266" s="136" t="s">
        <v>517</v>
      </c>
      <c r="C266" s="139"/>
      <c r="D266" s="141">
        <f>SUM(D267:D272)</f>
        <v>99857523.109999999</v>
      </c>
      <c r="E266" s="141">
        <f>SUM(E267:E272)</f>
        <v>99611998.099999994</v>
      </c>
      <c r="F266" s="169">
        <f t="shared" ref="F266:G266" si="38">SUM(F267:F272)</f>
        <v>248036.01</v>
      </c>
      <c r="G266" s="205">
        <f t="shared" si="38"/>
        <v>99612</v>
      </c>
      <c r="H266" s="116"/>
      <c r="I266" s="116"/>
      <c r="J266" s="116"/>
      <c r="K266" s="116"/>
      <c r="L266" s="116"/>
      <c r="M266" s="116"/>
    </row>
    <row r="267" spans="1:13" ht="63">
      <c r="A267" s="135" t="s">
        <v>1363</v>
      </c>
      <c r="B267" s="136"/>
      <c r="C267" s="136" t="s">
        <v>1343</v>
      </c>
      <c r="D267" s="137"/>
      <c r="E267" s="137">
        <v>-297111.67</v>
      </c>
      <c r="F267" s="167">
        <f t="shared" si="25"/>
        <v>297111.67</v>
      </c>
      <c r="G267" s="202">
        <f t="shared" ref="G267:G284" si="39">E267/1000</f>
        <v>-297.10000000000002</v>
      </c>
      <c r="H267" s="122"/>
      <c r="I267" s="122"/>
      <c r="J267" s="122"/>
      <c r="K267" s="122"/>
      <c r="L267" s="122"/>
      <c r="M267" s="122"/>
    </row>
    <row r="268" spans="1:13" ht="31.5">
      <c r="A268" s="135" t="s">
        <v>1288</v>
      </c>
      <c r="B268" s="136"/>
      <c r="C268" s="136" t="s">
        <v>1289</v>
      </c>
      <c r="D268" s="137"/>
      <c r="E268" s="137">
        <v>2511</v>
      </c>
      <c r="F268" s="167"/>
      <c r="G268" s="202">
        <f t="shared" si="39"/>
        <v>2.5</v>
      </c>
      <c r="H268" s="122"/>
      <c r="I268" s="122"/>
      <c r="J268" s="122"/>
      <c r="K268" s="122"/>
      <c r="L268" s="122"/>
      <c r="M268" s="122"/>
    </row>
    <row r="269" spans="1:13" ht="31.5">
      <c r="A269" s="135" t="s">
        <v>1216</v>
      </c>
      <c r="B269" s="136"/>
      <c r="C269" s="136" t="s">
        <v>1217</v>
      </c>
      <c r="D269" s="137"/>
      <c r="E269" s="137">
        <v>49075.66</v>
      </c>
      <c r="F269" s="167">
        <f t="shared" si="25"/>
        <v>-49075.66</v>
      </c>
      <c r="G269" s="202">
        <f t="shared" si="39"/>
        <v>49.1</v>
      </c>
      <c r="H269" s="122"/>
      <c r="I269" s="122"/>
      <c r="J269" s="122"/>
      <c r="K269" s="122"/>
      <c r="L269" s="122"/>
      <c r="M269" s="122"/>
    </row>
    <row r="270" spans="1:13" ht="78.75">
      <c r="A270" s="138" t="s">
        <v>1440</v>
      </c>
      <c r="B270" s="136"/>
      <c r="C270" s="136" t="s">
        <v>1441</v>
      </c>
      <c r="D270" s="141">
        <v>17222200</v>
      </c>
      <c r="E270" s="141">
        <v>17222200</v>
      </c>
      <c r="F270" s="167">
        <f t="shared" si="25"/>
        <v>0</v>
      </c>
      <c r="G270" s="202">
        <f t="shared" si="39"/>
        <v>17222.2</v>
      </c>
      <c r="H270" s="122"/>
      <c r="I270" s="122"/>
      <c r="J270" s="122"/>
      <c r="K270" s="122"/>
      <c r="L270" s="122"/>
      <c r="M270" s="122"/>
    </row>
    <row r="271" spans="1:13" ht="63">
      <c r="A271" s="135" t="s">
        <v>1442</v>
      </c>
      <c r="B271" s="136"/>
      <c r="C271" s="136" t="s">
        <v>1443</v>
      </c>
      <c r="D271" s="141">
        <v>105969000</v>
      </c>
      <c r="E271" s="141">
        <v>105969000</v>
      </c>
      <c r="F271" s="167">
        <f t="shared" si="25"/>
        <v>0</v>
      </c>
      <c r="G271" s="202">
        <f t="shared" si="39"/>
        <v>105969</v>
      </c>
      <c r="H271" s="122"/>
      <c r="I271" s="122"/>
      <c r="J271" s="122"/>
      <c r="K271" s="122"/>
      <c r="L271" s="122"/>
      <c r="M271" s="122"/>
    </row>
    <row r="272" spans="1:13" ht="63">
      <c r="A272" s="135" t="s">
        <v>1244</v>
      </c>
      <c r="B272" s="136"/>
      <c r="C272" s="136" t="s">
        <v>1245</v>
      </c>
      <c r="D272" s="141">
        <v>-23333676.890000001</v>
      </c>
      <c r="E272" s="141">
        <v>-23333676.890000001</v>
      </c>
      <c r="F272" s="167">
        <f t="shared" si="25"/>
        <v>0</v>
      </c>
      <c r="G272" s="202">
        <f t="shared" si="39"/>
        <v>-23333.7</v>
      </c>
      <c r="H272" s="122"/>
      <c r="I272" s="122"/>
      <c r="J272" s="122"/>
      <c r="K272" s="122"/>
      <c r="L272" s="122"/>
      <c r="M272" s="122"/>
    </row>
    <row r="273" spans="1:13" s="114" customFormat="1" ht="31.5">
      <c r="A273" s="135" t="s">
        <v>313</v>
      </c>
      <c r="B273" s="136" t="s">
        <v>1444</v>
      </c>
      <c r="C273" s="139"/>
      <c r="D273" s="141">
        <f>SUM(D274:D279)</f>
        <v>76492370.909999996</v>
      </c>
      <c r="E273" s="141">
        <f>SUM(E274:E279)</f>
        <v>78985669.75</v>
      </c>
      <c r="F273" s="169">
        <f t="shared" ref="F273:G273" si="40">SUM(F274:F279)</f>
        <v>-2493298.84</v>
      </c>
      <c r="G273" s="205">
        <f t="shared" si="40"/>
        <v>78985.7</v>
      </c>
      <c r="H273" s="116"/>
      <c r="I273" s="116"/>
      <c r="J273" s="116"/>
      <c r="K273" s="116"/>
      <c r="L273" s="116"/>
      <c r="M273" s="116"/>
    </row>
    <row r="274" spans="1:13" ht="31.5">
      <c r="A274" s="135" t="s">
        <v>1216</v>
      </c>
      <c r="B274" s="136"/>
      <c r="C274" s="136" t="s">
        <v>1217</v>
      </c>
      <c r="D274" s="137"/>
      <c r="E274" s="137">
        <v>1347.84</v>
      </c>
      <c r="F274" s="167">
        <f t="shared" si="25"/>
        <v>-1347.84</v>
      </c>
      <c r="G274" s="202">
        <f t="shared" si="39"/>
        <v>1.3</v>
      </c>
      <c r="H274" s="122"/>
      <c r="I274" s="122"/>
      <c r="J274" s="122"/>
      <c r="K274" s="122"/>
      <c r="L274" s="122"/>
      <c r="M274" s="122"/>
    </row>
    <row r="275" spans="1:13" ht="63">
      <c r="A275" s="206" t="s">
        <v>1445</v>
      </c>
      <c r="B275" s="136"/>
      <c r="C275" s="136" t="s">
        <v>1446</v>
      </c>
      <c r="D275" s="137">
        <v>35168763</v>
      </c>
      <c r="E275" s="137">
        <v>35168763</v>
      </c>
      <c r="F275" s="167">
        <f t="shared" si="25"/>
        <v>0</v>
      </c>
      <c r="G275" s="202">
        <f t="shared" si="39"/>
        <v>35168.800000000003</v>
      </c>
      <c r="H275" s="122"/>
      <c r="I275" s="122"/>
      <c r="J275" s="122"/>
      <c r="K275" s="122"/>
      <c r="L275" s="122"/>
      <c r="M275" s="122"/>
    </row>
    <row r="276" spans="1:13" ht="94.5">
      <c r="A276" s="207" t="s">
        <v>1296</v>
      </c>
      <c r="B276" s="136"/>
      <c r="C276" s="136" t="s">
        <v>1297</v>
      </c>
      <c r="D276" s="137">
        <v>133400000</v>
      </c>
      <c r="E276" s="137">
        <v>133400000</v>
      </c>
      <c r="F276" s="167">
        <f t="shared" si="25"/>
        <v>0</v>
      </c>
      <c r="G276" s="202">
        <f t="shared" si="39"/>
        <v>133400</v>
      </c>
      <c r="H276" s="122"/>
      <c r="I276" s="122"/>
      <c r="J276" s="122"/>
      <c r="K276" s="122"/>
      <c r="L276" s="122"/>
      <c r="M276" s="122"/>
    </row>
    <row r="277" spans="1:13" ht="31.5">
      <c r="A277" s="135" t="s">
        <v>1280</v>
      </c>
      <c r="B277" s="136"/>
      <c r="C277" s="136" t="s">
        <v>1281</v>
      </c>
      <c r="D277" s="137">
        <v>5104000</v>
      </c>
      <c r="E277" s="137">
        <v>7595951</v>
      </c>
      <c r="F277" s="167">
        <f t="shared" ref="F277:F284" si="41">D277-E277</f>
        <v>-2491951</v>
      </c>
      <c r="G277" s="202">
        <f t="shared" si="39"/>
        <v>7596</v>
      </c>
      <c r="H277" s="122"/>
      <c r="I277" s="122"/>
      <c r="J277" s="122"/>
      <c r="K277" s="122"/>
      <c r="L277" s="122"/>
      <c r="M277" s="122"/>
    </row>
    <row r="278" spans="1:13" ht="78.75">
      <c r="A278" s="135" t="s">
        <v>1240</v>
      </c>
      <c r="B278" s="136"/>
      <c r="C278" s="136" t="s">
        <v>1284</v>
      </c>
      <c r="D278" s="141">
        <v>11280212.49</v>
      </c>
      <c r="E278" s="141">
        <v>11280212.49</v>
      </c>
      <c r="F278" s="167">
        <f t="shared" si="41"/>
        <v>0</v>
      </c>
      <c r="G278" s="202">
        <f t="shared" si="39"/>
        <v>11280.2</v>
      </c>
      <c r="H278" s="122"/>
      <c r="I278" s="122"/>
      <c r="J278" s="122"/>
      <c r="K278" s="122"/>
      <c r="L278" s="122"/>
      <c r="M278" s="122"/>
    </row>
    <row r="279" spans="1:13" ht="63">
      <c r="A279" s="135" t="s">
        <v>1244</v>
      </c>
      <c r="B279" s="136"/>
      <c r="C279" s="136" t="s">
        <v>1245</v>
      </c>
      <c r="D279" s="141">
        <v>-108460604.58</v>
      </c>
      <c r="E279" s="141">
        <v>-108460604.58</v>
      </c>
      <c r="F279" s="167">
        <f t="shared" si="41"/>
        <v>0</v>
      </c>
      <c r="G279" s="202">
        <f t="shared" si="39"/>
        <v>-108460.6</v>
      </c>
      <c r="H279" s="122"/>
      <c r="I279" s="122"/>
      <c r="J279" s="122"/>
      <c r="K279" s="122"/>
      <c r="L279" s="122"/>
      <c r="M279" s="122"/>
    </row>
    <row r="280" spans="1:13" s="114" customFormat="1" ht="47.25">
      <c r="A280" s="140" t="s">
        <v>1447</v>
      </c>
      <c r="B280" s="136" t="s">
        <v>1448</v>
      </c>
      <c r="C280" s="139"/>
      <c r="D280" s="141">
        <f>SUM(D281:D284)</f>
        <v>6531700</v>
      </c>
      <c r="E280" s="141">
        <f>SUM(E281:E284)</f>
        <v>6531700</v>
      </c>
      <c r="F280" s="169">
        <f t="shared" ref="F280:G280" si="42">SUM(F281:F284)</f>
        <v>0</v>
      </c>
      <c r="G280" s="205">
        <f t="shared" si="42"/>
        <v>6531.7</v>
      </c>
      <c r="H280" s="116"/>
      <c r="I280" s="116"/>
      <c r="J280" s="116"/>
      <c r="K280" s="116"/>
      <c r="L280" s="116"/>
      <c r="M280" s="116"/>
    </row>
    <row r="281" spans="1:13" ht="47.25">
      <c r="A281" s="135" t="s">
        <v>1449</v>
      </c>
      <c r="B281" s="136"/>
      <c r="C281" s="136" t="s">
        <v>1450</v>
      </c>
      <c r="D281" s="141">
        <v>139200</v>
      </c>
      <c r="E281" s="141">
        <v>139200</v>
      </c>
      <c r="F281" s="167">
        <f t="shared" si="41"/>
        <v>0</v>
      </c>
      <c r="G281" s="202">
        <f t="shared" si="39"/>
        <v>139.19999999999999</v>
      </c>
      <c r="H281" s="122"/>
      <c r="I281" s="122"/>
      <c r="J281" s="122"/>
      <c r="K281" s="122"/>
      <c r="L281" s="122"/>
      <c r="M281" s="122"/>
    </row>
    <row r="282" spans="1:13" ht="47.25">
      <c r="A282" s="135" t="s">
        <v>1451</v>
      </c>
      <c r="B282" s="136"/>
      <c r="C282" s="136" t="s">
        <v>1452</v>
      </c>
      <c r="D282" s="141">
        <v>158200</v>
      </c>
      <c r="E282" s="141">
        <v>158200</v>
      </c>
      <c r="F282" s="167">
        <f t="shared" si="41"/>
        <v>0</v>
      </c>
      <c r="G282" s="202">
        <f t="shared" si="39"/>
        <v>158.19999999999999</v>
      </c>
      <c r="H282" s="122"/>
      <c r="I282" s="122"/>
      <c r="J282" s="122"/>
      <c r="K282" s="122"/>
      <c r="L282" s="122"/>
      <c r="M282" s="122"/>
    </row>
    <row r="283" spans="1:13" ht="63">
      <c r="A283" s="135" t="s">
        <v>1453</v>
      </c>
      <c r="B283" s="136"/>
      <c r="C283" s="136" t="s">
        <v>1454</v>
      </c>
      <c r="D283" s="141">
        <v>72400</v>
      </c>
      <c r="E283" s="141">
        <v>72400</v>
      </c>
      <c r="F283" s="167">
        <f t="shared" si="41"/>
        <v>0</v>
      </c>
      <c r="G283" s="202">
        <f t="shared" si="39"/>
        <v>72.400000000000006</v>
      </c>
      <c r="H283" s="122"/>
      <c r="I283" s="122"/>
      <c r="J283" s="122"/>
      <c r="K283" s="122"/>
      <c r="L283" s="122"/>
      <c r="M283" s="122"/>
    </row>
    <row r="284" spans="1:13" ht="111" thickBot="1">
      <c r="A284" s="144" t="s">
        <v>1455</v>
      </c>
      <c r="B284" s="145"/>
      <c r="C284" s="145" t="s">
        <v>1456</v>
      </c>
      <c r="D284" s="146">
        <v>6161900</v>
      </c>
      <c r="E284" s="146">
        <v>6161900</v>
      </c>
      <c r="F284" s="170">
        <f t="shared" si="41"/>
        <v>0</v>
      </c>
      <c r="G284" s="214">
        <f t="shared" si="39"/>
        <v>6161.9</v>
      </c>
      <c r="H284" s="122"/>
      <c r="I284" s="122"/>
      <c r="J284" s="122"/>
      <c r="K284" s="122"/>
      <c r="L284" s="122"/>
      <c r="M284" s="122"/>
    </row>
    <row r="285" spans="1:13">
      <c r="A285" s="147"/>
      <c r="B285" s="148"/>
      <c r="C285" s="149"/>
      <c r="D285" s="150"/>
      <c r="E285" s="151"/>
      <c r="F285" s="151"/>
      <c r="G285" s="130" t="s">
        <v>1096</v>
      </c>
      <c r="H285" s="122"/>
      <c r="I285" s="122"/>
      <c r="J285" s="122"/>
      <c r="K285" s="122"/>
      <c r="L285" s="122"/>
      <c r="M285" s="122"/>
    </row>
    <row r="286" spans="1:13">
      <c r="A286" s="152"/>
      <c r="B286" s="153"/>
      <c r="C286" s="154" t="s">
        <v>1457</v>
      </c>
      <c r="D286" s="155">
        <f>D12+D15+D21+D23+D25+D31+D34+D36+D63+D65+D69+D70+D71+D72+D95+D96+D97+D116+D118+D120+D122+D123+D124+D125+D152+D154+D155+D156+D157+D165+D166+D167+D180+D181+D182+D184+D185+D186+D205+D206+D210+D211+D212+D213+D214+D215+D216+D217+D218+D219+D221+D222+D227+D229+D231+D233+D235+D236+D238+D239+D244+D245+D246+D247+D248+D249+D250+D251+D252+D259+D260+D261+D262+D264+D267+D268+D269+D274</f>
        <v>2337884000</v>
      </c>
      <c r="E286" s="155">
        <f>E12+E15+E21+E23+E25+E31+E34+E36+E63+E65+E69+E70+E71+E72+E95+E96+E97+E116+E118+E120+E122+E123+E124+E125+E152+E154+E155+E156+E157+E165+E166+E167+E180+E181+E182+E184+E185+E186+E205+E206+E210+E211+E212+E213+E214+E215+E216+E217+E218+E219+E221+E222+E227+E229+E231+E233+E235+E236+E238+E239+E244+E245+E246+E247+E248+E249+E250+E251+E252+E259+E260+E261+E262+E264+E267+E268+E269+E274</f>
        <v>2311011106.7199998</v>
      </c>
      <c r="F286" s="154"/>
    </row>
    <row r="287" spans="1:13">
      <c r="A287" s="152"/>
      <c r="B287" s="153"/>
      <c r="C287" s="154" t="s">
        <v>1458</v>
      </c>
      <c r="D287" s="155">
        <f>D109+D277</f>
        <v>5119000</v>
      </c>
      <c r="E287" s="155">
        <f>E109+E277</f>
        <v>7610951</v>
      </c>
      <c r="F287" s="154"/>
    </row>
    <row r="288" spans="1:13">
      <c r="A288" s="152"/>
      <c r="B288" s="153"/>
      <c r="C288" s="154"/>
      <c r="D288" s="155">
        <f>13938446100.84-D10</f>
        <v>0</v>
      </c>
      <c r="E288" s="156">
        <f>13914174765.23-E10</f>
        <v>0</v>
      </c>
      <c r="F288" s="154"/>
    </row>
    <row r="289" spans="1:6">
      <c r="A289" s="152"/>
      <c r="B289" s="153"/>
      <c r="C289" s="154"/>
      <c r="D289" s="154"/>
      <c r="E289" s="157"/>
      <c r="F289" s="154"/>
    </row>
    <row r="290" spans="1:6">
      <c r="A290" s="152"/>
      <c r="B290" s="153"/>
      <c r="C290" s="154"/>
      <c r="D290" s="154"/>
      <c r="E290" s="157"/>
      <c r="F290" s="154"/>
    </row>
    <row r="291" spans="1:6">
      <c r="A291" s="152"/>
      <c r="B291" s="153"/>
      <c r="C291" s="154"/>
      <c r="D291" s="154"/>
      <c r="E291" s="157"/>
      <c r="F291" s="154"/>
    </row>
    <row r="292" spans="1:6">
      <c r="A292" s="154"/>
      <c r="B292" s="154"/>
      <c r="C292" s="158" t="s">
        <v>1459</v>
      </c>
      <c r="D292" s="159">
        <f>D284+D283+D282+D281+D271+D270+D256+D255+D253+D242+D241+D240+D223+D199+D198+D197+D196+D194+D193+D192+D191+D189+D188+D187+D170+D169+D168+D160+D159+D158+D146+D145+D144+D143+D142+D141+D140+D139+D137+D136+D135+D134+D133+D132+D131+D130+D129+D127+D126+D107+D106+D105+D104+D103+D101+D100+D99+D98+D89+D88+D81+D79+D78+D77+D76+D75+D74+D73</f>
        <v>10998519065.860001</v>
      </c>
      <c r="E292" s="159">
        <f>E284+E283+E282+E281+E271+E270+E256+E255+E253+E242+E241+E240+E223+E199+E198+E197+E196+E194+E193+E192+E191+E189+E188+E187+E170+E169+E168+E160+E159+E158+E146+E145+E144+E143+E142+E141+E140+E139+E137+E136+E135+E134+E133+E132+E131+E130+E129+E127+E126+E107+E106+E105+E104+E103+E101+E100+E99+E98+E89+E88+E81+E79+E78+E77+E76+E75+E74+E73</f>
        <v>10998510221.51</v>
      </c>
      <c r="F292" s="154"/>
    </row>
    <row r="293" spans="1:6">
      <c r="A293" s="154"/>
      <c r="B293" s="154"/>
      <c r="C293" s="158" t="s">
        <v>1460</v>
      </c>
      <c r="D293" s="159">
        <f>D173+D172+D200</f>
        <v>361795750</v>
      </c>
      <c r="E293" s="159">
        <f>E173+E172+E200</f>
        <v>360934235.97000003</v>
      </c>
      <c r="F293" s="154"/>
    </row>
    <row r="294" spans="1:6">
      <c r="A294" s="154"/>
      <c r="B294" s="154"/>
      <c r="C294" s="158" t="s">
        <v>1461</v>
      </c>
      <c r="D294" s="159">
        <f>D278+D202+D175+D174+D162+D161+D148+D113+D112+D111+D110+D85+D83+D208</f>
        <v>44034054.090000004</v>
      </c>
      <c r="E294" s="159">
        <f>E278+E202+E175+E174+E162+E161+E148+E113+E112+E111+E110+E85+E83+E208</f>
        <v>44034054.090000004</v>
      </c>
      <c r="F294" s="154"/>
    </row>
    <row r="295" spans="1:6">
      <c r="A295" s="154"/>
      <c r="B295" s="154"/>
      <c r="C295" s="158" t="s">
        <v>1462</v>
      </c>
      <c r="D295" s="159">
        <f>D279+D272+D257+D203+D176+D163+D114+D93+D86</f>
        <v>-186142865.06999999</v>
      </c>
      <c r="E295" s="159">
        <f>E279+E272+E257+E203+E176+E163+E114+E93+E86</f>
        <v>-186142865.06999999</v>
      </c>
      <c r="F295" s="154"/>
    </row>
    <row r="296" spans="1:6">
      <c r="A296" s="154"/>
      <c r="B296" s="154"/>
      <c r="C296" s="154" t="s">
        <v>1463</v>
      </c>
      <c r="D296" s="155">
        <f>D292+D293+D294+D295</f>
        <v>11218206004.879999</v>
      </c>
      <c r="E296" s="155">
        <f>E292+E293+E294+E295</f>
        <v>11217335646.5</v>
      </c>
      <c r="F296" s="154"/>
    </row>
    <row r="297" spans="1:6">
      <c r="A297" s="154"/>
      <c r="B297" s="154"/>
      <c r="C297" s="154" t="s">
        <v>1464</v>
      </c>
      <c r="D297" s="155">
        <f>D296+5119000</f>
        <v>11223325004.879999</v>
      </c>
      <c r="E297" s="156">
        <f>E296+5987743</f>
        <v>11223323389.5</v>
      </c>
      <c r="F297" s="154"/>
    </row>
    <row r="298" spans="1:6">
      <c r="A298" s="152"/>
      <c r="B298" s="153"/>
      <c r="C298" s="154"/>
      <c r="D298" s="154"/>
      <c r="E298" s="157"/>
      <c r="F298" s="154"/>
    </row>
    <row r="299" spans="1:6">
      <c r="A299" s="152"/>
      <c r="B299" s="153"/>
      <c r="C299" s="154"/>
      <c r="D299" s="154"/>
      <c r="E299" s="157"/>
      <c r="F299" s="154"/>
    </row>
    <row r="300" spans="1:6">
      <c r="A300" s="152"/>
      <c r="B300" s="153"/>
      <c r="C300" s="154"/>
      <c r="D300" s="154"/>
      <c r="E300" s="157"/>
      <c r="F300" s="154"/>
    </row>
    <row r="301" spans="1:6">
      <c r="A301" s="152"/>
      <c r="B301" s="153"/>
      <c r="C301" s="154"/>
      <c r="D301" s="154"/>
      <c r="E301" s="157"/>
      <c r="F301" s="154"/>
    </row>
    <row r="302" spans="1:6">
      <c r="A302" s="152"/>
      <c r="B302" s="153"/>
      <c r="C302" s="154"/>
      <c r="D302" s="154"/>
      <c r="E302" s="157"/>
      <c r="F302" s="154"/>
    </row>
    <row r="303" spans="1:6">
      <c r="A303" s="152"/>
      <c r="B303" s="153"/>
      <c r="C303" s="154"/>
      <c r="D303" s="154"/>
      <c r="E303" s="157"/>
      <c r="F303" s="154"/>
    </row>
    <row r="304" spans="1:6">
      <c r="A304" s="152"/>
      <c r="B304" s="153"/>
      <c r="C304" s="154"/>
      <c r="D304" s="154"/>
      <c r="E304" s="157"/>
      <c r="F304" s="154"/>
    </row>
    <row r="305" spans="1:6">
      <c r="A305" s="152"/>
      <c r="B305" s="153"/>
      <c r="C305" s="154"/>
      <c r="D305" s="154"/>
      <c r="E305" s="157"/>
      <c r="F305" s="154"/>
    </row>
    <row r="306" spans="1:6">
      <c r="A306" s="152"/>
      <c r="B306" s="153"/>
      <c r="C306" s="154"/>
      <c r="D306" s="154"/>
      <c r="E306" s="157"/>
      <c r="F306" s="154"/>
    </row>
    <row r="307" spans="1:6">
      <c r="A307" s="152"/>
      <c r="B307" s="153"/>
      <c r="C307" s="154"/>
      <c r="D307" s="154"/>
      <c r="E307" s="157"/>
      <c r="F307" s="154"/>
    </row>
    <row r="308" spans="1:6">
      <c r="A308" s="152"/>
      <c r="B308" s="153"/>
      <c r="C308" s="154"/>
      <c r="D308" s="154"/>
      <c r="E308" s="157"/>
      <c r="F308" s="154"/>
    </row>
    <row r="309" spans="1:6">
      <c r="A309" s="152"/>
      <c r="B309" s="153"/>
      <c r="C309" s="154"/>
      <c r="D309" s="154"/>
      <c r="E309" s="157"/>
      <c r="F309" s="154"/>
    </row>
    <row r="310" spans="1:6">
      <c r="A310" s="152"/>
      <c r="B310" s="153"/>
      <c r="C310" s="154"/>
      <c r="D310" s="154"/>
      <c r="E310" s="157"/>
      <c r="F310" s="154"/>
    </row>
    <row r="311" spans="1:6">
      <c r="A311" s="152"/>
      <c r="B311" s="153"/>
      <c r="C311" s="154"/>
      <c r="D311" s="154"/>
      <c r="E311" s="157"/>
      <c r="F311" s="154"/>
    </row>
    <row r="312" spans="1:6">
      <c r="A312" s="152"/>
      <c r="B312" s="153"/>
      <c r="C312" s="154"/>
      <c r="D312" s="154"/>
      <c r="E312" s="157"/>
      <c r="F312" s="154"/>
    </row>
  </sheetData>
  <mergeCells count="9">
    <mergeCell ref="C2:G2"/>
    <mergeCell ref="G7:G8"/>
    <mergeCell ref="A4:G4"/>
    <mergeCell ref="C1:G1"/>
    <mergeCell ref="A7:A8"/>
    <mergeCell ref="B7:C7"/>
    <mergeCell ref="D7:D8"/>
    <mergeCell ref="E7:E8"/>
    <mergeCell ref="F7:F8"/>
  </mergeCells>
  <pageMargins left="0.70866141732283472" right="0.70866141732283472" top="0.55118110236220474" bottom="0.55118110236220474" header="0.31496062992125984" footer="0.31496062992125984"/>
  <pageSetup paperSize="9" scale="81" firstPageNumber="79" fitToHeight="36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workbookViewId="0">
      <selection activeCell="A109" sqref="A109"/>
    </sheetView>
  </sheetViews>
  <sheetFormatPr defaultColWidth="9.140625" defaultRowHeight="18.75"/>
  <cols>
    <col min="1" max="1" width="58" style="226" customWidth="1"/>
    <col min="2" max="2" width="11.5703125" style="226" customWidth="1"/>
    <col min="3" max="3" width="13" style="227" customWidth="1"/>
    <col min="4" max="4" width="18.85546875" style="228" hidden="1" customWidth="1"/>
    <col min="5" max="5" width="16.7109375" style="228" hidden="1" customWidth="1"/>
    <col min="6" max="6" width="19.28515625" style="228" customWidth="1"/>
    <col min="7" max="7" width="20.28515625" style="113" hidden="1" customWidth="1"/>
    <col min="8" max="16384" width="9.140625" style="228"/>
  </cols>
  <sheetData>
    <row r="1" spans="1:12">
      <c r="C1" s="394" t="s">
        <v>1066</v>
      </c>
      <c r="D1" s="394"/>
      <c r="E1" s="394"/>
      <c r="F1" s="394"/>
      <c r="G1" s="98"/>
      <c r="H1" s="98"/>
      <c r="I1" s="98"/>
      <c r="J1" s="98"/>
      <c r="K1" s="98"/>
      <c r="L1" s="98"/>
    </row>
    <row r="2" spans="1:12" ht="67.5" customHeight="1">
      <c r="C2" s="379" t="s">
        <v>1065</v>
      </c>
      <c r="D2" s="379"/>
      <c r="E2" s="379"/>
      <c r="F2" s="379"/>
      <c r="G2" s="379"/>
      <c r="H2" s="100"/>
      <c r="I2" s="100"/>
      <c r="J2" s="100"/>
      <c r="K2" s="100"/>
      <c r="L2" s="100"/>
    </row>
    <row r="3" spans="1:12" s="101" customFormat="1" ht="48.75" customHeight="1">
      <c r="A3" s="395" t="s">
        <v>1067</v>
      </c>
      <c r="B3" s="395"/>
      <c r="C3" s="395"/>
      <c r="D3" s="395"/>
      <c r="E3" s="395"/>
      <c r="F3" s="395"/>
      <c r="G3" s="395"/>
    </row>
    <row r="4" spans="1:12" s="101" customFormat="1">
      <c r="A4" s="102"/>
      <c r="B4" s="102"/>
      <c r="C4" s="102"/>
      <c r="D4" s="102"/>
      <c r="G4" s="103"/>
    </row>
    <row r="5" spans="1:12" ht="19.5" thickBot="1">
      <c r="F5" s="196" t="s">
        <v>752</v>
      </c>
      <c r="G5" s="228"/>
      <c r="H5" s="196"/>
    </row>
    <row r="6" spans="1:12" ht="48" customHeight="1" thickBot="1">
      <c r="A6" s="396" t="s">
        <v>0</v>
      </c>
      <c r="B6" s="398" t="s">
        <v>1068</v>
      </c>
      <c r="C6" s="399"/>
      <c r="D6" s="400" t="s">
        <v>1033</v>
      </c>
      <c r="E6" s="402" t="s">
        <v>1034</v>
      </c>
      <c r="F6" s="404" t="s">
        <v>1035</v>
      </c>
      <c r="G6" s="406" t="s">
        <v>1036</v>
      </c>
    </row>
    <row r="7" spans="1:12" ht="22.5" customHeight="1" thickBot="1">
      <c r="A7" s="397"/>
      <c r="B7" s="337" t="s">
        <v>1866</v>
      </c>
      <c r="C7" s="337" t="s">
        <v>1867</v>
      </c>
      <c r="D7" s="401"/>
      <c r="E7" s="403"/>
      <c r="F7" s="405"/>
      <c r="G7" s="407"/>
    </row>
    <row r="8" spans="1:12" s="229" customFormat="1" ht="16.5" customHeight="1" thickBot="1">
      <c r="A8" s="328">
        <v>1</v>
      </c>
      <c r="B8" s="329">
        <v>2</v>
      </c>
      <c r="C8" s="330" t="s">
        <v>1069</v>
      </c>
      <c r="D8" s="330">
        <v>4</v>
      </c>
      <c r="E8" s="330">
        <v>5</v>
      </c>
      <c r="F8" s="331" t="s">
        <v>1753</v>
      </c>
      <c r="G8" s="273" t="s">
        <v>1753</v>
      </c>
    </row>
    <row r="9" spans="1:12" s="230" customFormat="1" ht="20.100000000000001" customHeight="1">
      <c r="A9" s="341" t="s">
        <v>1070</v>
      </c>
      <c r="B9" s="274" t="s">
        <v>16</v>
      </c>
      <c r="C9" s="275"/>
      <c r="D9" s="276">
        <v>693565.4</v>
      </c>
      <c r="E9" s="276">
        <v>691165.3</v>
      </c>
      <c r="F9" s="280">
        <v>566519.69999999995</v>
      </c>
      <c r="G9" s="277">
        <v>81.97</v>
      </c>
    </row>
    <row r="10" spans="1:12" ht="8.25" customHeight="1">
      <c r="A10" s="342"/>
      <c r="B10" s="104"/>
      <c r="C10" s="243"/>
      <c r="D10" s="231"/>
      <c r="E10" s="231"/>
      <c r="F10" s="281"/>
      <c r="G10" s="277"/>
    </row>
    <row r="11" spans="1:12" ht="60" customHeight="1">
      <c r="A11" s="105" t="s">
        <v>273</v>
      </c>
      <c r="B11" s="104" t="s">
        <v>16</v>
      </c>
      <c r="C11" s="243" t="s">
        <v>28</v>
      </c>
      <c r="D11" s="244">
        <v>52069</v>
      </c>
      <c r="E11" s="244">
        <v>52069</v>
      </c>
      <c r="F11" s="282">
        <v>50021.7</v>
      </c>
      <c r="G11" s="278">
        <v>96.07</v>
      </c>
    </row>
    <row r="12" spans="1:12" ht="80.099999999999994" customHeight="1">
      <c r="A12" s="105" t="s">
        <v>162</v>
      </c>
      <c r="B12" s="104" t="s">
        <v>16</v>
      </c>
      <c r="C12" s="243" t="s">
        <v>11</v>
      </c>
      <c r="D12" s="244">
        <v>89970.6</v>
      </c>
      <c r="E12" s="244">
        <v>89970.6</v>
      </c>
      <c r="F12" s="282">
        <v>86688.6</v>
      </c>
      <c r="G12" s="278">
        <v>96.35</v>
      </c>
    </row>
    <row r="13" spans="1:12" ht="20.100000000000001" customHeight="1">
      <c r="A13" s="105" t="s">
        <v>164</v>
      </c>
      <c r="B13" s="104" t="s">
        <v>16</v>
      </c>
      <c r="C13" s="243" t="s">
        <v>31</v>
      </c>
      <c r="D13" s="244">
        <v>32567.599999999999</v>
      </c>
      <c r="E13" s="244">
        <v>32567.599999999999</v>
      </c>
      <c r="F13" s="282">
        <v>31329.4</v>
      </c>
      <c r="G13" s="278">
        <v>96.2</v>
      </c>
    </row>
    <row r="14" spans="1:12" ht="60" customHeight="1">
      <c r="A14" s="105" t="s">
        <v>142</v>
      </c>
      <c r="B14" s="104" t="s">
        <v>16</v>
      </c>
      <c r="C14" s="243" t="s">
        <v>34</v>
      </c>
      <c r="D14" s="244">
        <v>53605.599999999999</v>
      </c>
      <c r="E14" s="244">
        <v>53715.6</v>
      </c>
      <c r="F14" s="282">
        <v>53247.1</v>
      </c>
      <c r="G14" s="278">
        <v>99.13</v>
      </c>
    </row>
    <row r="15" spans="1:12" ht="20.100000000000001" customHeight="1">
      <c r="A15" s="105" t="s">
        <v>270</v>
      </c>
      <c r="B15" s="104" t="s">
        <v>16</v>
      </c>
      <c r="C15" s="243" t="s">
        <v>9</v>
      </c>
      <c r="D15" s="244">
        <v>16352.5</v>
      </c>
      <c r="E15" s="244">
        <v>17552.5</v>
      </c>
      <c r="F15" s="282">
        <v>17247.900000000001</v>
      </c>
      <c r="G15" s="278">
        <v>98.26</v>
      </c>
    </row>
    <row r="16" spans="1:12" ht="20.100000000000001" customHeight="1">
      <c r="A16" s="105" t="s">
        <v>143</v>
      </c>
      <c r="B16" s="104" t="s">
        <v>16</v>
      </c>
      <c r="C16" s="243" t="s">
        <v>50</v>
      </c>
      <c r="D16" s="244">
        <v>57312</v>
      </c>
      <c r="E16" s="244">
        <v>54034.9</v>
      </c>
      <c r="F16" s="282">
        <v>0</v>
      </c>
      <c r="G16" s="278">
        <v>0</v>
      </c>
    </row>
    <row r="17" spans="1:7" ht="31.5">
      <c r="A17" s="105" t="s">
        <v>72</v>
      </c>
      <c r="B17" s="104" t="s">
        <v>16</v>
      </c>
      <c r="C17" s="243" t="s">
        <v>69</v>
      </c>
      <c r="D17" s="244">
        <v>22178.6</v>
      </c>
      <c r="E17" s="244">
        <v>22178.6</v>
      </c>
      <c r="F17" s="282">
        <v>22174.9</v>
      </c>
      <c r="G17" s="278">
        <v>99.98</v>
      </c>
    </row>
    <row r="18" spans="1:7" ht="15.75">
      <c r="A18" s="105" t="s">
        <v>53</v>
      </c>
      <c r="B18" s="104" t="s">
        <v>16</v>
      </c>
      <c r="C18" s="243" t="s">
        <v>54</v>
      </c>
      <c r="D18" s="244">
        <v>369509.5</v>
      </c>
      <c r="E18" s="244">
        <v>369076.5</v>
      </c>
      <c r="F18" s="282">
        <v>305810.09999999998</v>
      </c>
      <c r="G18" s="278">
        <v>82.86</v>
      </c>
    </row>
    <row r="19" spans="1:7" ht="12" customHeight="1">
      <c r="A19" s="343"/>
      <c r="B19" s="104"/>
      <c r="C19" s="243"/>
      <c r="D19" s="245"/>
      <c r="E19" s="231"/>
      <c r="F19" s="281"/>
      <c r="G19" s="277"/>
    </row>
    <row r="20" spans="1:7" ht="15.75">
      <c r="A20" s="344" t="s">
        <v>1071</v>
      </c>
      <c r="B20" s="106" t="s">
        <v>26</v>
      </c>
      <c r="C20" s="246"/>
      <c r="D20" s="242">
        <v>8755.1</v>
      </c>
      <c r="E20" s="242">
        <v>8755.1</v>
      </c>
      <c r="F20" s="283">
        <v>8549.2999999999993</v>
      </c>
      <c r="G20" s="277">
        <v>97.65</v>
      </c>
    </row>
    <row r="21" spans="1:7" ht="15.75">
      <c r="A21" s="344"/>
      <c r="B21" s="106"/>
      <c r="C21" s="246"/>
      <c r="D21" s="247"/>
      <c r="E21" s="231"/>
      <c r="F21" s="281"/>
      <c r="G21" s="277"/>
    </row>
    <row r="22" spans="1:7" ht="15.75">
      <c r="A22" s="107" t="s">
        <v>169</v>
      </c>
      <c r="B22" s="108" t="s">
        <v>26</v>
      </c>
      <c r="C22" s="248" t="s">
        <v>28</v>
      </c>
      <c r="D22" s="249">
        <v>5409.7</v>
      </c>
      <c r="E22" s="249">
        <v>5409.7</v>
      </c>
      <c r="F22" s="284">
        <v>5409.7</v>
      </c>
      <c r="G22" s="278">
        <v>100</v>
      </c>
    </row>
    <row r="23" spans="1:7" ht="15.75">
      <c r="A23" s="105" t="s">
        <v>290</v>
      </c>
      <c r="B23" s="104" t="s">
        <v>26</v>
      </c>
      <c r="C23" s="243" t="s">
        <v>11</v>
      </c>
      <c r="D23" s="249">
        <v>3345.4</v>
      </c>
      <c r="E23" s="249">
        <v>3345.4</v>
      </c>
      <c r="F23" s="284">
        <v>3139.6</v>
      </c>
      <c r="G23" s="278">
        <v>93.85</v>
      </c>
    </row>
    <row r="24" spans="1:7" ht="9.75" customHeight="1">
      <c r="A24" s="343"/>
      <c r="B24" s="104"/>
      <c r="C24" s="243"/>
      <c r="D24" s="245"/>
      <c r="E24" s="231"/>
      <c r="F24" s="281"/>
      <c r="G24" s="277"/>
    </row>
    <row r="25" spans="1:7" ht="31.5">
      <c r="A25" s="344" t="s">
        <v>1072</v>
      </c>
      <c r="B25" s="106" t="s">
        <v>28</v>
      </c>
      <c r="C25" s="246"/>
      <c r="D25" s="242">
        <v>142505.4</v>
      </c>
      <c r="E25" s="242">
        <v>143797.5</v>
      </c>
      <c r="F25" s="283">
        <v>139627.6</v>
      </c>
      <c r="G25" s="277">
        <v>97.1</v>
      </c>
    </row>
    <row r="26" spans="1:7" ht="12" customHeight="1">
      <c r="A26" s="107"/>
      <c r="B26" s="108"/>
      <c r="C26" s="248"/>
      <c r="D26" s="245"/>
      <c r="E26" s="231"/>
      <c r="F26" s="281"/>
      <c r="G26" s="277"/>
    </row>
    <row r="27" spans="1:7" ht="63">
      <c r="A27" s="105" t="s">
        <v>1073</v>
      </c>
      <c r="B27" s="104" t="s">
        <v>28</v>
      </c>
      <c r="C27" s="243" t="s">
        <v>14</v>
      </c>
      <c r="D27" s="249">
        <v>34946.800000000003</v>
      </c>
      <c r="E27" s="249">
        <v>36238.9</v>
      </c>
      <c r="F27" s="284">
        <v>32541</v>
      </c>
      <c r="G27" s="278">
        <v>89.8</v>
      </c>
    </row>
    <row r="28" spans="1:7" ht="15.75">
      <c r="A28" s="105" t="s">
        <v>308</v>
      </c>
      <c r="B28" s="104" t="s">
        <v>28</v>
      </c>
      <c r="C28" s="243" t="s">
        <v>140</v>
      </c>
      <c r="D28" s="249">
        <v>96441.1</v>
      </c>
      <c r="E28" s="249">
        <v>96441.1</v>
      </c>
      <c r="F28" s="284">
        <v>96303</v>
      </c>
      <c r="G28" s="278">
        <v>99.86</v>
      </c>
    </row>
    <row r="29" spans="1:7" ht="31.5">
      <c r="A29" s="105" t="s">
        <v>309</v>
      </c>
      <c r="B29" s="104" t="s">
        <v>28</v>
      </c>
      <c r="C29" s="243" t="s">
        <v>200</v>
      </c>
      <c r="D29" s="249">
        <v>11117.5</v>
      </c>
      <c r="E29" s="249">
        <v>11117.5</v>
      </c>
      <c r="F29" s="284">
        <v>10783.6</v>
      </c>
      <c r="G29" s="278">
        <v>97</v>
      </c>
    </row>
    <row r="30" spans="1:7" ht="10.5" customHeight="1">
      <c r="A30" s="343"/>
      <c r="B30" s="104"/>
      <c r="C30" s="243"/>
      <c r="D30" s="245"/>
      <c r="E30" s="231"/>
      <c r="F30" s="281"/>
      <c r="G30" s="277"/>
    </row>
    <row r="31" spans="1:7" ht="15.75">
      <c r="A31" s="344" t="s">
        <v>1074</v>
      </c>
      <c r="B31" s="106" t="s">
        <v>11</v>
      </c>
      <c r="C31" s="246"/>
      <c r="D31" s="242">
        <v>2329609.7000000002</v>
      </c>
      <c r="E31" s="242">
        <v>3598688.8</v>
      </c>
      <c r="F31" s="283">
        <v>2651026.1</v>
      </c>
      <c r="G31" s="277">
        <v>73.67</v>
      </c>
    </row>
    <row r="32" spans="1:7" ht="15.75">
      <c r="A32" s="107"/>
      <c r="B32" s="108"/>
      <c r="C32" s="248"/>
      <c r="D32" s="245"/>
      <c r="E32" s="231"/>
      <c r="F32" s="281"/>
      <c r="G32" s="277"/>
    </row>
    <row r="33" spans="1:7" ht="15.75">
      <c r="A33" s="109" t="s">
        <v>268</v>
      </c>
      <c r="B33" s="108" t="s">
        <v>11</v>
      </c>
      <c r="C33" s="248" t="s">
        <v>16</v>
      </c>
      <c r="D33" s="249">
        <v>98861.5</v>
      </c>
      <c r="E33" s="249">
        <v>98861.5</v>
      </c>
      <c r="F33" s="284">
        <v>95757.5</v>
      </c>
      <c r="G33" s="278">
        <v>96.86</v>
      </c>
    </row>
    <row r="34" spans="1:7" ht="15.75">
      <c r="A34" s="105" t="s">
        <v>101</v>
      </c>
      <c r="B34" s="104" t="s">
        <v>11</v>
      </c>
      <c r="C34" s="243" t="s">
        <v>31</v>
      </c>
      <c r="D34" s="249">
        <v>682802.7</v>
      </c>
      <c r="E34" s="249">
        <v>685771.7</v>
      </c>
      <c r="F34" s="284">
        <v>684061.6</v>
      </c>
      <c r="G34" s="278">
        <v>99.75</v>
      </c>
    </row>
    <row r="35" spans="1:7" ht="15.75">
      <c r="A35" s="105" t="s">
        <v>292</v>
      </c>
      <c r="B35" s="104" t="s">
        <v>11</v>
      </c>
      <c r="C35" s="243" t="s">
        <v>34</v>
      </c>
      <c r="D35" s="249">
        <v>88873</v>
      </c>
      <c r="E35" s="249">
        <v>88873</v>
      </c>
      <c r="F35" s="284">
        <v>88873</v>
      </c>
      <c r="G35" s="278">
        <v>100</v>
      </c>
    </row>
    <row r="36" spans="1:7" ht="15.75">
      <c r="A36" s="105" t="s">
        <v>297</v>
      </c>
      <c r="B36" s="104" t="s">
        <v>11</v>
      </c>
      <c r="C36" s="243" t="s">
        <v>9</v>
      </c>
      <c r="D36" s="249">
        <v>260015.4</v>
      </c>
      <c r="E36" s="249">
        <v>260015.4</v>
      </c>
      <c r="F36" s="284">
        <v>260015.4</v>
      </c>
      <c r="G36" s="278">
        <v>100</v>
      </c>
    </row>
    <row r="37" spans="1:7" ht="15.75">
      <c r="A37" s="105" t="s">
        <v>306</v>
      </c>
      <c r="B37" s="104" t="s">
        <v>11</v>
      </c>
      <c r="C37" s="243" t="s">
        <v>56</v>
      </c>
      <c r="D37" s="249">
        <v>84326.7</v>
      </c>
      <c r="E37" s="249">
        <v>84326.7</v>
      </c>
      <c r="F37" s="284">
        <v>84216</v>
      </c>
      <c r="G37" s="278">
        <v>99.87</v>
      </c>
    </row>
    <row r="38" spans="1:7" ht="15.75">
      <c r="A38" s="105" t="s">
        <v>469</v>
      </c>
      <c r="B38" s="104" t="s">
        <v>11</v>
      </c>
      <c r="C38" s="243" t="s">
        <v>14</v>
      </c>
      <c r="D38" s="249">
        <v>744547.3</v>
      </c>
      <c r="E38" s="249">
        <v>2016882.3</v>
      </c>
      <c r="F38" s="284">
        <v>1098225.3</v>
      </c>
      <c r="G38" s="278">
        <v>54.45</v>
      </c>
    </row>
    <row r="39" spans="1:7" ht="15.75">
      <c r="A39" s="105" t="s">
        <v>157</v>
      </c>
      <c r="B39" s="104" t="s">
        <v>11</v>
      </c>
      <c r="C39" s="243" t="s">
        <v>140</v>
      </c>
      <c r="D39" s="249">
        <v>126368.9</v>
      </c>
      <c r="E39" s="249">
        <v>126801.60000000001</v>
      </c>
      <c r="F39" s="284">
        <v>124715.8</v>
      </c>
      <c r="G39" s="278">
        <v>98.36</v>
      </c>
    </row>
    <row r="40" spans="1:7" ht="15.75">
      <c r="A40" s="105" t="s">
        <v>158</v>
      </c>
      <c r="B40" s="104" t="s">
        <v>11</v>
      </c>
      <c r="C40" s="243" t="s">
        <v>69</v>
      </c>
      <c r="D40" s="249">
        <v>243814.2</v>
      </c>
      <c r="E40" s="249">
        <v>237156.6</v>
      </c>
      <c r="F40" s="284">
        <v>215161.5</v>
      </c>
      <c r="G40" s="278">
        <v>90.73</v>
      </c>
    </row>
    <row r="41" spans="1:7" ht="9" customHeight="1">
      <c r="A41" s="343"/>
      <c r="B41" s="104"/>
      <c r="C41" s="243"/>
      <c r="D41" s="245"/>
      <c r="E41" s="231"/>
      <c r="F41" s="281"/>
      <c r="G41" s="277"/>
    </row>
    <row r="42" spans="1:7" ht="15.75">
      <c r="A42" s="344" t="s">
        <v>1075</v>
      </c>
      <c r="B42" s="106" t="s">
        <v>31</v>
      </c>
      <c r="C42" s="246"/>
      <c r="D42" s="242">
        <v>1221349.8999999999</v>
      </c>
      <c r="E42" s="242">
        <v>1221349.8999999999</v>
      </c>
      <c r="F42" s="283">
        <v>1059404</v>
      </c>
      <c r="G42" s="277">
        <v>86.74</v>
      </c>
    </row>
    <row r="43" spans="1:7" ht="9" customHeight="1">
      <c r="A43" s="107"/>
      <c r="B43" s="108"/>
      <c r="C43" s="248"/>
      <c r="D43" s="245"/>
      <c r="E43" s="231"/>
      <c r="F43" s="281"/>
      <c r="G43" s="277"/>
    </row>
    <row r="44" spans="1:7" ht="15.75">
      <c r="A44" s="105" t="s">
        <v>470</v>
      </c>
      <c r="B44" s="104" t="s">
        <v>31</v>
      </c>
      <c r="C44" s="243" t="s">
        <v>16</v>
      </c>
      <c r="D44" s="249">
        <v>383085.3</v>
      </c>
      <c r="E44" s="249">
        <v>383085.3</v>
      </c>
      <c r="F44" s="284">
        <v>376205.2</v>
      </c>
      <c r="G44" s="278">
        <v>98.2</v>
      </c>
    </row>
    <row r="45" spans="1:7" ht="15.75">
      <c r="A45" s="105" t="s">
        <v>138</v>
      </c>
      <c r="B45" s="104" t="s">
        <v>31</v>
      </c>
      <c r="C45" s="243" t="s">
        <v>26</v>
      </c>
      <c r="D45" s="249">
        <v>832788.9</v>
      </c>
      <c r="E45" s="249">
        <v>832788.9</v>
      </c>
      <c r="F45" s="284">
        <v>677723.1</v>
      </c>
      <c r="G45" s="278">
        <v>81.38</v>
      </c>
    </row>
    <row r="46" spans="1:7" ht="15.75">
      <c r="A46" s="105" t="s">
        <v>1076</v>
      </c>
      <c r="B46" s="104" t="s">
        <v>31</v>
      </c>
      <c r="C46" s="243" t="s">
        <v>28</v>
      </c>
      <c r="D46" s="249">
        <v>350</v>
      </c>
      <c r="E46" s="249">
        <v>350</v>
      </c>
      <c r="F46" s="284">
        <v>350</v>
      </c>
      <c r="G46" s="278">
        <v>100</v>
      </c>
    </row>
    <row r="47" spans="1:7" ht="31.5">
      <c r="A47" s="105" t="s">
        <v>225</v>
      </c>
      <c r="B47" s="104" t="s">
        <v>31</v>
      </c>
      <c r="C47" s="243" t="s">
        <v>31</v>
      </c>
      <c r="D47" s="249">
        <v>5125.7</v>
      </c>
      <c r="E47" s="249">
        <v>5125.7</v>
      </c>
      <c r="F47" s="284">
        <v>5125.7</v>
      </c>
      <c r="G47" s="278">
        <v>100</v>
      </c>
    </row>
    <row r="48" spans="1:7" ht="6.75" customHeight="1">
      <c r="A48" s="343"/>
      <c r="B48" s="104"/>
      <c r="C48" s="243"/>
      <c r="D48" s="245"/>
      <c r="E48" s="231"/>
      <c r="F48" s="281"/>
      <c r="G48" s="277"/>
    </row>
    <row r="49" spans="1:7" ht="15.75">
      <c r="A49" s="345" t="s">
        <v>1077</v>
      </c>
      <c r="B49" s="110" t="s">
        <v>34</v>
      </c>
      <c r="C49" s="241"/>
      <c r="D49" s="242">
        <v>25938.799999999999</v>
      </c>
      <c r="E49" s="242">
        <v>25938.799999999999</v>
      </c>
      <c r="F49" s="283">
        <v>22538.799999999999</v>
      </c>
      <c r="G49" s="277">
        <v>86.89</v>
      </c>
    </row>
    <row r="50" spans="1:7" ht="8.25" customHeight="1">
      <c r="A50" s="343"/>
      <c r="B50" s="104"/>
      <c r="C50" s="243"/>
      <c r="D50" s="245"/>
      <c r="E50" s="231"/>
      <c r="F50" s="281"/>
      <c r="G50" s="277"/>
    </row>
    <row r="51" spans="1:7" ht="15.75">
      <c r="A51" s="239" t="s">
        <v>941</v>
      </c>
      <c r="B51" s="111" t="s">
        <v>34</v>
      </c>
      <c r="C51" s="243" t="s">
        <v>16</v>
      </c>
      <c r="D51" s="249">
        <v>250</v>
      </c>
      <c r="E51" s="249">
        <v>250</v>
      </c>
      <c r="F51" s="284">
        <v>250</v>
      </c>
      <c r="G51" s="278">
        <v>100</v>
      </c>
    </row>
    <row r="52" spans="1:7" ht="31.5">
      <c r="A52" s="105" t="s">
        <v>303</v>
      </c>
      <c r="B52" s="104" t="s">
        <v>34</v>
      </c>
      <c r="C52" s="243" t="s">
        <v>28</v>
      </c>
      <c r="D52" s="249">
        <v>15330.1</v>
      </c>
      <c r="E52" s="249">
        <v>15330.1</v>
      </c>
      <c r="F52" s="284">
        <v>11930.1</v>
      </c>
      <c r="G52" s="278">
        <v>77.819999999999993</v>
      </c>
    </row>
    <row r="53" spans="1:7" ht="15.75">
      <c r="A53" s="105" t="s">
        <v>304</v>
      </c>
      <c r="B53" s="104" t="s">
        <v>34</v>
      </c>
      <c r="C53" s="243" t="s">
        <v>31</v>
      </c>
      <c r="D53" s="249">
        <v>10358.700000000001</v>
      </c>
      <c r="E53" s="249">
        <v>10358.700000000001</v>
      </c>
      <c r="F53" s="284">
        <v>10358.700000000001</v>
      </c>
      <c r="G53" s="278">
        <v>100</v>
      </c>
    </row>
    <row r="54" spans="1:7" ht="7.5" customHeight="1">
      <c r="A54" s="343"/>
      <c r="B54" s="104"/>
      <c r="C54" s="243"/>
      <c r="D54" s="245"/>
      <c r="E54" s="231"/>
      <c r="F54" s="281"/>
      <c r="G54" s="277"/>
    </row>
    <row r="55" spans="1:7" ht="15.75">
      <c r="A55" s="345" t="s">
        <v>1078</v>
      </c>
      <c r="B55" s="110" t="s">
        <v>9</v>
      </c>
      <c r="C55" s="241"/>
      <c r="D55" s="242">
        <v>3681365.3</v>
      </c>
      <c r="E55" s="242">
        <v>3681509.3</v>
      </c>
      <c r="F55" s="283">
        <v>3611643.7</v>
      </c>
      <c r="G55" s="277">
        <v>98.1</v>
      </c>
    </row>
    <row r="56" spans="1:7" ht="9" customHeight="1">
      <c r="A56" s="343"/>
      <c r="B56" s="104"/>
      <c r="C56" s="243"/>
      <c r="D56" s="245"/>
      <c r="E56" s="231"/>
      <c r="F56" s="281"/>
      <c r="G56" s="277"/>
    </row>
    <row r="57" spans="1:7" ht="15.75">
      <c r="A57" s="109" t="s">
        <v>226</v>
      </c>
      <c r="B57" s="108" t="s">
        <v>9</v>
      </c>
      <c r="C57" s="243" t="s">
        <v>16</v>
      </c>
      <c r="D57" s="249">
        <v>319743.8</v>
      </c>
      <c r="E57" s="249">
        <v>319743.8</v>
      </c>
      <c r="F57" s="284">
        <v>319743.8</v>
      </c>
      <c r="G57" s="278">
        <v>100</v>
      </c>
    </row>
    <row r="58" spans="1:7" ht="15.75">
      <c r="A58" s="105" t="s">
        <v>73</v>
      </c>
      <c r="B58" s="104" t="s">
        <v>9</v>
      </c>
      <c r="C58" s="243" t="s">
        <v>26</v>
      </c>
      <c r="D58" s="249">
        <v>2858789.8</v>
      </c>
      <c r="E58" s="249">
        <v>2858789.8</v>
      </c>
      <c r="F58" s="284">
        <v>2798373.4</v>
      </c>
      <c r="G58" s="278">
        <v>97.89</v>
      </c>
    </row>
    <row r="59" spans="1:7" ht="15.75">
      <c r="A59" s="105" t="s">
        <v>74</v>
      </c>
      <c r="B59" s="104" t="s">
        <v>9</v>
      </c>
      <c r="C59" s="243" t="s">
        <v>28</v>
      </c>
      <c r="D59" s="249">
        <v>94071.7</v>
      </c>
      <c r="E59" s="249">
        <v>94071.7</v>
      </c>
      <c r="F59" s="284">
        <v>93660.4</v>
      </c>
      <c r="G59" s="278">
        <v>99.56</v>
      </c>
    </row>
    <row r="60" spans="1:7" ht="15.75">
      <c r="A60" s="105" t="s">
        <v>10</v>
      </c>
      <c r="B60" s="104" t="s">
        <v>9</v>
      </c>
      <c r="C60" s="243" t="s">
        <v>11</v>
      </c>
      <c r="D60" s="249">
        <v>250388.9</v>
      </c>
      <c r="E60" s="249">
        <v>250532.9</v>
      </c>
      <c r="F60" s="284">
        <v>250085</v>
      </c>
      <c r="G60" s="278">
        <v>99.82</v>
      </c>
    </row>
    <row r="61" spans="1:7" ht="31.5">
      <c r="A61" s="105" t="s">
        <v>75</v>
      </c>
      <c r="B61" s="104" t="s">
        <v>9</v>
      </c>
      <c r="C61" s="243" t="s">
        <v>31</v>
      </c>
      <c r="D61" s="249">
        <v>21071.200000000001</v>
      </c>
      <c r="E61" s="249">
        <v>21071.200000000001</v>
      </c>
      <c r="F61" s="284">
        <v>20803.8</v>
      </c>
      <c r="G61" s="278">
        <v>98.73</v>
      </c>
    </row>
    <row r="62" spans="1:7" ht="15.75">
      <c r="A62" s="105" t="s">
        <v>76</v>
      </c>
      <c r="B62" s="104" t="s">
        <v>9</v>
      </c>
      <c r="C62" s="243" t="s">
        <v>9</v>
      </c>
      <c r="D62" s="249">
        <v>72335.7</v>
      </c>
      <c r="E62" s="249">
        <v>72335.7</v>
      </c>
      <c r="F62" s="284">
        <v>72277.3</v>
      </c>
      <c r="G62" s="278">
        <v>99.92</v>
      </c>
    </row>
    <row r="63" spans="1:7" ht="15.75">
      <c r="A63" s="105" t="s">
        <v>77</v>
      </c>
      <c r="B63" s="104" t="s">
        <v>9</v>
      </c>
      <c r="C63" s="243" t="s">
        <v>14</v>
      </c>
      <c r="D63" s="249">
        <v>64964.2</v>
      </c>
      <c r="E63" s="249">
        <v>64964.2</v>
      </c>
      <c r="F63" s="284">
        <v>56700</v>
      </c>
      <c r="G63" s="278">
        <v>87.28</v>
      </c>
    </row>
    <row r="64" spans="1:7" ht="8.25" customHeight="1">
      <c r="A64" s="343"/>
      <c r="B64" s="104"/>
      <c r="C64" s="243"/>
      <c r="D64" s="245"/>
      <c r="E64" s="231"/>
      <c r="F64" s="281"/>
      <c r="G64" s="277"/>
    </row>
    <row r="65" spans="1:7" ht="15.75">
      <c r="A65" s="345" t="s">
        <v>1079</v>
      </c>
      <c r="B65" s="110" t="s">
        <v>56</v>
      </c>
      <c r="C65" s="241"/>
      <c r="D65" s="242">
        <v>281177</v>
      </c>
      <c r="E65" s="242">
        <v>281466</v>
      </c>
      <c r="F65" s="283">
        <v>264045.90000000002</v>
      </c>
      <c r="G65" s="277">
        <v>93.81</v>
      </c>
    </row>
    <row r="66" spans="1:7" ht="8.25" customHeight="1">
      <c r="A66" s="343"/>
      <c r="B66" s="104"/>
      <c r="C66" s="243"/>
      <c r="D66" s="245"/>
      <c r="E66" s="231"/>
      <c r="F66" s="281"/>
      <c r="G66" s="277"/>
    </row>
    <row r="67" spans="1:7" ht="15.75">
      <c r="A67" s="105" t="s">
        <v>1080</v>
      </c>
      <c r="B67" s="104" t="s">
        <v>56</v>
      </c>
      <c r="C67" s="243" t="s">
        <v>16</v>
      </c>
      <c r="D67" s="249">
        <v>265114</v>
      </c>
      <c r="E67" s="249">
        <v>265403</v>
      </c>
      <c r="F67" s="284">
        <v>248020.5</v>
      </c>
      <c r="G67" s="278">
        <v>93.45</v>
      </c>
    </row>
    <row r="68" spans="1:7" ht="15.75">
      <c r="A68" s="240" t="s">
        <v>62</v>
      </c>
      <c r="B68" s="104" t="s">
        <v>56</v>
      </c>
      <c r="C68" s="243" t="s">
        <v>11</v>
      </c>
      <c r="D68" s="249">
        <v>16063</v>
      </c>
      <c r="E68" s="249">
        <v>16063</v>
      </c>
      <c r="F68" s="284">
        <v>16025.4</v>
      </c>
      <c r="G68" s="278">
        <v>99.77</v>
      </c>
    </row>
    <row r="69" spans="1:7" ht="7.5" customHeight="1">
      <c r="A69" s="343"/>
      <c r="B69" s="104"/>
      <c r="C69" s="243"/>
      <c r="D69" s="245"/>
      <c r="E69" s="231"/>
      <c r="F69" s="281"/>
      <c r="G69" s="277"/>
    </row>
    <row r="70" spans="1:7" ht="15.75">
      <c r="A70" s="345" t="s">
        <v>1081</v>
      </c>
      <c r="B70" s="110" t="s">
        <v>14</v>
      </c>
      <c r="C70" s="241"/>
      <c r="D70" s="242">
        <v>1836367.1</v>
      </c>
      <c r="E70" s="242">
        <v>2097876</v>
      </c>
      <c r="F70" s="283">
        <v>1943632.5</v>
      </c>
      <c r="G70" s="277">
        <v>92.65</v>
      </c>
    </row>
    <row r="71" spans="1:7" ht="9" customHeight="1">
      <c r="A71" s="343"/>
      <c r="B71" s="104"/>
      <c r="C71" s="243"/>
      <c r="D71" s="245"/>
      <c r="E71" s="231"/>
      <c r="F71" s="281"/>
      <c r="G71" s="277"/>
    </row>
    <row r="72" spans="1:7" ht="15.75">
      <c r="A72" s="105" t="s">
        <v>15</v>
      </c>
      <c r="B72" s="104" t="s">
        <v>14</v>
      </c>
      <c r="C72" s="243" t="s">
        <v>16</v>
      </c>
      <c r="D72" s="249">
        <v>250264</v>
      </c>
      <c r="E72" s="249">
        <v>250264.2</v>
      </c>
      <c r="F72" s="284">
        <v>220715.5</v>
      </c>
      <c r="G72" s="278">
        <v>88.19</v>
      </c>
    </row>
    <row r="73" spans="1:7" ht="15.75">
      <c r="A73" s="105" t="s">
        <v>25</v>
      </c>
      <c r="B73" s="104" t="s">
        <v>14</v>
      </c>
      <c r="C73" s="243" t="s">
        <v>26</v>
      </c>
      <c r="D73" s="249">
        <v>143489.29999999999</v>
      </c>
      <c r="E73" s="249">
        <v>145997.9</v>
      </c>
      <c r="F73" s="284">
        <v>144040.20000000001</v>
      </c>
      <c r="G73" s="278">
        <v>98.66</v>
      </c>
    </row>
    <row r="74" spans="1:7" ht="31.5">
      <c r="A74" s="105" t="s">
        <v>27</v>
      </c>
      <c r="B74" s="104" t="s">
        <v>14</v>
      </c>
      <c r="C74" s="243" t="s">
        <v>28</v>
      </c>
      <c r="D74" s="249">
        <v>6450.3</v>
      </c>
      <c r="E74" s="249">
        <v>6450.3</v>
      </c>
      <c r="F74" s="284">
        <v>6450.3</v>
      </c>
      <c r="G74" s="278">
        <v>100</v>
      </c>
    </row>
    <row r="75" spans="1:7" ht="15.75">
      <c r="A75" s="105" t="s">
        <v>1082</v>
      </c>
      <c r="B75" s="104" t="s">
        <v>14</v>
      </c>
      <c r="C75" s="243" t="s">
        <v>11</v>
      </c>
      <c r="D75" s="249">
        <v>96568.9</v>
      </c>
      <c r="E75" s="249">
        <v>96568.9</v>
      </c>
      <c r="F75" s="284">
        <v>96568.9</v>
      </c>
      <c r="G75" s="278">
        <v>100</v>
      </c>
    </row>
    <row r="76" spans="1:7" ht="15.75">
      <c r="A76" s="105" t="s">
        <v>30</v>
      </c>
      <c r="B76" s="104" t="s">
        <v>14</v>
      </c>
      <c r="C76" s="243" t="s">
        <v>31</v>
      </c>
      <c r="D76" s="249">
        <v>66431.3</v>
      </c>
      <c r="E76" s="249">
        <v>66431.3</v>
      </c>
      <c r="F76" s="284">
        <v>66431.3</v>
      </c>
      <c r="G76" s="278">
        <v>100</v>
      </c>
    </row>
    <row r="77" spans="1:7" ht="31.5">
      <c r="A77" s="105" t="s">
        <v>1083</v>
      </c>
      <c r="B77" s="104" t="s">
        <v>14</v>
      </c>
      <c r="C77" s="243" t="s">
        <v>34</v>
      </c>
      <c r="D77" s="249">
        <v>17214.2</v>
      </c>
      <c r="E77" s="249">
        <v>17214.2</v>
      </c>
      <c r="F77" s="284">
        <v>17214.2</v>
      </c>
      <c r="G77" s="278">
        <v>100</v>
      </c>
    </row>
    <row r="78" spans="1:7" ht="15.75">
      <c r="A78" s="105" t="s">
        <v>36</v>
      </c>
      <c r="B78" s="104" t="s">
        <v>14</v>
      </c>
      <c r="C78" s="243" t="s">
        <v>14</v>
      </c>
      <c r="D78" s="249">
        <v>1255949.1000000001</v>
      </c>
      <c r="E78" s="249">
        <v>1514949.2</v>
      </c>
      <c r="F78" s="284">
        <v>1392212.1</v>
      </c>
      <c r="G78" s="278">
        <v>91.9</v>
      </c>
    </row>
    <row r="79" spans="1:7" ht="7.5" customHeight="1">
      <c r="A79" s="343"/>
      <c r="B79" s="104"/>
      <c r="C79" s="243"/>
      <c r="D79" s="245"/>
      <c r="E79" s="231"/>
      <c r="F79" s="281"/>
      <c r="G79" s="277"/>
    </row>
    <row r="80" spans="1:7" ht="15.75">
      <c r="A80" s="345" t="s">
        <v>1084</v>
      </c>
      <c r="B80" s="110" t="s">
        <v>140</v>
      </c>
      <c r="C80" s="241"/>
      <c r="D80" s="242">
        <v>1620302.5</v>
      </c>
      <c r="E80" s="242">
        <v>1627766</v>
      </c>
      <c r="F80" s="283">
        <v>1516141.5</v>
      </c>
      <c r="G80" s="277">
        <v>93.14</v>
      </c>
    </row>
    <row r="81" spans="1:7" ht="8.25" customHeight="1">
      <c r="A81" s="343"/>
      <c r="B81" s="104"/>
      <c r="C81" s="243"/>
      <c r="D81" s="245"/>
      <c r="E81" s="231"/>
      <c r="F81" s="281"/>
      <c r="G81" s="277"/>
    </row>
    <row r="82" spans="1:7" ht="15.75">
      <c r="A82" s="105" t="s">
        <v>178</v>
      </c>
      <c r="B82" s="104" t="s">
        <v>140</v>
      </c>
      <c r="C82" s="243" t="s">
        <v>16</v>
      </c>
      <c r="D82" s="249">
        <v>22260.2</v>
      </c>
      <c r="E82" s="249">
        <v>22260.2</v>
      </c>
      <c r="F82" s="284">
        <v>22169.8</v>
      </c>
      <c r="G82" s="278">
        <v>99.59</v>
      </c>
    </row>
    <row r="83" spans="1:7" ht="15.75">
      <c r="A83" s="105" t="s">
        <v>181</v>
      </c>
      <c r="B83" s="104" t="s">
        <v>140</v>
      </c>
      <c r="C83" s="243" t="s">
        <v>26</v>
      </c>
      <c r="D83" s="249">
        <v>293869.09999999998</v>
      </c>
      <c r="E83" s="249">
        <v>300880.7</v>
      </c>
      <c r="F83" s="284">
        <v>297387.8</v>
      </c>
      <c r="G83" s="278">
        <v>98.84</v>
      </c>
    </row>
    <row r="84" spans="1:7" ht="15.75">
      <c r="A84" s="105" t="s">
        <v>46</v>
      </c>
      <c r="B84" s="104" t="s">
        <v>140</v>
      </c>
      <c r="C84" s="243" t="s">
        <v>28</v>
      </c>
      <c r="D84" s="249">
        <v>972515.6</v>
      </c>
      <c r="E84" s="249">
        <v>972883.8</v>
      </c>
      <c r="F84" s="284">
        <v>938323.3</v>
      </c>
      <c r="G84" s="278">
        <v>96.45</v>
      </c>
    </row>
    <row r="85" spans="1:7" ht="15.75">
      <c r="A85" s="105" t="s">
        <v>87</v>
      </c>
      <c r="B85" s="104" t="s">
        <v>140</v>
      </c>
      <c r="C85" s="243" t="s">
        <v>11</v>
      </c>
      <c r="D85" s="249">
        <v>293750.5</v>
      </c>
      <c r="E85" s="249">
        <v>293750.5</v>
      </c>
      <c r="F85" s="284">
        <v>220309</v>
      </c>
      <c r="G85" s="278">
        <v>75</v>
      </c>
    </row>
    <row r="86" spans="1:7" ht="15.75">
      <c r="A86" s="105" t="s">
        <v>258</v>
      </c>
      <c r="B86" s="104" t="s">
        <v>140</v>
      </c>
      <c r="C86" s="243" t="s">
        <v>34</v>
      </c>
      <c r="D86" s="249">
        <v>37907.1</v>
      </c>
      <c r="E86" s="249">
        <v>37990.800000000003</v>
      </c>
      <c r="F86" s="284">
        <v>37951.599999999999</v>
      </c>
      <c r="G86" s="278">
        <v>99.9</v>
      </c>
    </row>
    <row r="87" spans="1:7" ht="9" customHeight="1">
      <c r="A87" s="343"/>
      <c r="B87" s="104"/>
      <c r="C87" s="243"/>
      <c r="D87" s="245"/>
      <c r="E87" s="231"/>
      <c r="F87" s="281"/>
      <c r="G87" s="277"/>
    </row>
    <row r="88" spans="1:7" ht="15.75">
      <c r="A88" s="345" t="s">
        <v>1085</v>
      </c>
      <c r="B88" s="110" t="s">
        <v>50</v>
      </c>
      <c r="C88" s="241"/>
      <c r="D88" s="242">
        <v>135621.5</v>
      </c>
      <c r="E88" s="242">
        <v>135621.5</v>
      </c>
      <c r="F88" s="283">
        <v>100073.8</v>
      </c>
      <c r="G88" s="277">
        <v>73.790000000000006</v>
      </c>
    </row>
    <row r="89" spans="1:7" ht="9.75" customHeight="1">
      <c r="A89" s="343"/>
      <c r="B89" s="104"/>
      <c r="C89" s="243"/>
      <c r="D89" s="245"/>
      <c r="E89" s="231"/>
      <c r="F89" s="281"/>
      <c r="G89" s="277"/>
    </row>
    <row r="90" spans="1:7" ht="15.75">
      <c r="A90" s="105" t="s">
        <v>262</v>
      </c>
      <c r="B90" s="104" t="s">
        <v>50</v>
      </c>
      <c r="C90" s="243" t="s">
        <v>16</v>
      </c>
      <c r="D90" s="249">
        <v>3099.4</v>
      </c>
      <c r="E90" s="249">
        <v>3099.4</v>
      </c>
      <c r="F90" s="284">
        <v>3099.4</v>
      </c>
      <c r="G90" s="278">
        <v>100</v>
      </c>
    </row>
    <row r="91" spans="1:7" ht="15.75">
      <c r="A91" s="105" t="s">
        <v>1086</v>
      </c>
      <c r="B91" s="104" t="s">
        <v>50</v>
      </c>
      <c r="C91" s="243" t="s">
        <v>26</v>
      </c>
      <c r="D91" s="249">
        <v>108311</v>
      </c>
      <c r="E91" s="249">
        <v>108311</v>
      </c>
      <c r="F91" s="284">
        <v>72781.2</v>
      </c>
      <c r="G91" s="278">
        <v>67.2</v>
      </c>
    </row>
    <row r="92" spans="1:7" ht="15.75">
      <c r="A92" s="105" t="s">
        <v>263</v>
      </c>
      <c r="B92" s="104" t="s">
        <v>50</v>
      </c>
      <c r="C92" s="243" t="s">
        <v>28</v>
      </c>
      <c r="D92" s="249">
        <v>14483.2</v>
      </c>
      <c r="E92" s="249">
        <v>14483.2</v>
      </c>
      <c r="F92" s="284">
        <v>14483.2</v>
      </c>
      <c r="G92" s="278">
        <v>100</v>
      </c>
    </row>
    <row r="93" spans="1:7" s="230" customFormat="1" ht="31.5">
      <c r="A93" s="109" t="s">
        <v>264</v>
      </c>
      <c r="B93" s="108" t="s">
        <v>50</v>
      </c>
      <c r="C93" s="250" t="s">
        <v>31</v>
      </c>
      <c r="D93" s="249">
        <v>9727.9</v>
      </c>
      <c r="E93" s="249">
        <v>9727.9</v>
      </c>
      <c r="F93" s="284">
        <v>9710</v>
      </c>
      <c r="G93" s="278">
        <v>99.82</v>
      </c>
    </row>
    <row r="94" spans="1:7" s="230" customFormat="1" ht="8.25" customHeight="1">
      <c r="A94" s="109"/>
      <c r="B94" s="108"/>
      <c r="C94" s="250"/>
      <c r="D94" s="245"/>
      <c r="E94" s="232"/>
      <c r="F94" s="285"/>
      <c r="G94" s="277"/>
    </row>
    <row r="95" spans="1:7" s="230" customFormat="1" ht="15.75">
      <c r="A95" s="112" t="s">
        <v>1087</v>
      </c>
      <c r="B95" s="106" t="s">
        <v>69</v>
      </c>
      <c r="C95" s="251"/>
      <c r="D95" s="242">
        <v>19665.599999999999</v>
      </c>
      <c r="E95" s="242">
        <v>19665.599999999999</v>
      </c>
      <c r="F95" s="283">
        <v>19665.599999999999</v>
      </c>
      <c r="G95" s="277">
        <v>100</v>
      </c>
    </row>
    <row r="96" spans="1:7" s="230" customFormat="1" ht="6" customHeight="1">
      <c r="A96" s="109"/>
      <c r="B96" s="108"/>
      <c r="C96" s="250"/>
      <c r="D96" s="245"/>
      <c r="E96" s="232"/>
      <c r="F96" s="285"/>
      <c r="G96" s="277"/>
    </row>
    <row r="97" spans="1:10" s="230" customFormat="1" ht="15.75">
      <c r="A97" s="109" t="s">
        <v>70</v>
      </c>
      <c r="B97" s="108" t="s">
        <v>69</v>
      </c>
      <c r="C97" s="250" t="s">
        <v>26</v>
      </c>
      <c r="D97" s="249">
        <v>19665.599999999999</v>
      </c>
      <c r="E97" s="249">
        <v>19665.599999999999</v>
      </c>
      <c r="F97" s="284">
        <v>19665.599999999999</v>
      </c>
      <c r="G97" s="278">
        <v>100</v>
      </c>
    </row>
    <row r="98" spans="1:10" s="230" customFormat="1" ht="7.5" customHeight="1">
      <c r="A98" s="109"/>
      <c r="B98" s="108"/>
      <c r="C98" s="250"/>
      <c r="D98" s="245"/>
      <c r="E98" s="232"/>
      <c r="F98" s="285"/>
      <c r="G98" s="277"/>
    </row>
    <row r="99" spans="1:10" s="230" customFormat="1" ht="42.75" customHeight="1">
      <c r="A99" s="112" t="s">
        <v>1088</v>
      </c>
      <c r="B99" s="106" t="s">
        <v>54</v>
      </c>
      <c r="C99" s="251"/>
      <c r="D99" s="242">
        <v>102037.4</v>
      </c>
      <c r="E99" s="242">
        <v>102037.4</v>
      </c>
      <c r="F99" s="283">
        <v>67852.399999999994</v>
      </c>
      <c r="G99" s="277">
        <v>66.5</v>
      </c>
    </row>
    <row r="100" spans="1:10" s="230" customFormat="1" ht="7.5" customHeight="1">
      <c r="A100" s="109"/>
      <c r="B100" s="108"/>
      <c r="C100" s="250"/>
      <c r="D100" s="245"/>
      <c r="E100" s="232"/>
      <c r="F100" s="285"/>
      <c r="G100" s="277"/>
    </row>
    <row r="101" spans="1:10" s="230" customFormat="1" ht="31.5">
      <c r="A101" s="240" t="s">
        <v>556</v>
      </c>
      <c r="B101" s="108" t="s">
        <v>54</v>
      </c>
      <c r="C101" s="250" t="s">
        <v>16</v>
      </c>
      <c r="D101" s="249">
        <v>102037.4</v>
      </c>
      <c r="E101" s="249">
        <v>102037.4</v>
      </c>
      <c r="F101" s="284">
        <v>67852.399999999994</v>
      </c>
      <c r="G101" s="278">
        <v>66.5</v>
      </c>
    </row>
    <row r="102" spans="1:10" s="230" customFormat="1" ht="5.25" customHeight="1">
      <c r="A102" s="109"/>
      <c r="B102" s="108"/>
      <c r="C102" s="250"/>
      <c r="D102" s="245"/>
      <c r="E102" s="232"/>
      <c r="F102" s="285"/>
      <c r="G102" s="277"/>
    </row>
    <row r="103" spans="1:10" s="230" customFormat="1" ht="63">
      <c r="A103" s="112" t="s">
        <v>1089</v>
      </c>
      <c r="B103" s="106" t="s">
        <v>200</v>
      </c>
      <c r="C103" s="251"/>
      <c r="D103" s="242">
        <v>1057407.1000000001</v>
      </c>
      <c r="E103" s="242">
        <v>1057407.1000000001</v>
      </c>
      <c r="F103" s="283">
        <v>1056657.5</v>
      </c>
      <c r="G103" s="277">
        <v>99.93</v>
      </c>
    </row>
    <row r="104" spans="1:10" s="230" customFormat="1" ht="8.25" customHeight="1">
      <c r="A104" s="109"/>
      <c r="B104" s="108"/>
      <c r="C104" s="250"/>
      <c r="D104" s="245"/>
      <c r="E104" s="232"/>
      <c r="F104" s="285"/>
      <c r="G104" s="277"/>
    </row>
    <row r="105" spans="1:10" s="230" customFormat="1" ht="47.25">
      <c r="A105" s="240" t="s">
        <v>201</v>
      </c>
      <c r="B105" s="108" t="s">
        <v>200</v>
      </c>
      <c r="C105" s="250" t="s">
        <v>16</v>
      </c>
      <c r="D105" s="249">
        <v>822287.8</v>
      </c>
      <c r="E105" s="249">
        <v>822287.8</v>
      </c>
      <c r="F105" s="284">
        <v>822287.8</v>
      </c>
      <c r="G105" s="278">
        <v>100</v>
      </c>
    </row>
    <row r="106" spans="1:10" s="230" customFormat="1" ht="15.75">
      <c r="A106" s="109" t="s">
        <v>209</v>
      </c>
      <c r="B106" s="108" t="s">
        <v>200</v>
      </c>
      <c r="C106" s="250" t="s">
        <v>26</v>
      </c>
      <c r="D106" s="249">
        <v>228035.3</v>
      </c>
      <c r="E106" s="249">
        <v>228035.3</v>
      </c>
      <c r="F106" s="284">
        <v>227285.7</v>
      </c>
      <c r="G106" s="278">
        <v>99.67</v>
      </c>
    </row>
    <row r="107" spans="1:10" s="230" customFormat="1" ht="15.75">
      <c r="A107" s="240" t="s">
        <v>215</v>
      </c>
      <c r="B107" s="108" t="s">
        <v>200</v>
      </c>
      <c r="C107" s="250" t="s">
        <v>28</v>
      </c>
      <c r="D107" s="249">
        <v>7084</v>
      </c>
      <c r="E107" s="249">
        <v>7084</v>
      </c>
      <c r="F107" s="284">
        <v>7084</v>
      </c>
      <c r="G107" s="278">
        <v>100</v>
      </c>
    </row>
    <row r="108" spans="1:10" s="230" customFormat="1" ht="6.75" customHeight="1">
      <c r="A108" s="109"/>
      <c r="B108" s="108"/>
      <c r="C108" s="250"/>
      <c r="D108" s="249"/>
      <c r="E108" s="232"/>
      <c r="F108" s="285"/>
      <c r="G108" s="277"/>
    </row>
    <row r="109" spans="1:10" ht="16.5" thickBot="1">
      <c r="A109" s="346" t="s">
        <v>1090</v>
      </c>
      <c r="B109" s="252"/>
      <c r="C109" s="253"/>
      <c r="D109" s="254">
        <v>13155667.800000001</v>
      </c>
      <c r="E109" s="254">
        <v>14693044.300000001</v>
      </c>
      <c r="F109" s="286">
        <v>13027378.4</v>
      </c>
      <c r="G109" s="279">
        <v>88.66</v>
      </c>
      <c r="J109" s="340">
        <f>F109-Ведомственная!P1962</f>
        <v>0</v>
      </c>
    </row>
    <row r="111" spans="1:10">
      <c r="A111" s="233" t="s">
        <v>1091</v>
      </c>
      <c r="B111" s="233"/>
    </row>
    <row r="116" spans="1:4">
      <c r="A116" s="234"/>
      <c r="B116" s="234"/>
      <c r="C116" s="235"/>
      <c r="D116" s="236"/>
    </row>
    <row r="117" spans="1:4">
      <c r="A117" s="234"/>
      <c r="B117" s="234"/>
      <c r="C117" s="235"/>
      <c r="D117" s="237"/>
    </row>
    <row r="118" spans="1:4">
      <c r="A118" s="234"/>
      <c r="B118" s="234"/>
      <c r="C118" s="235"/>
      <c r="D118" s="238"/>
    </row>
    <row r="119" spans="1:4">
      <c r="A119" s="234"/>
      <c r="B119" s="234"/>
      <c r="C119" s="235"/>
      <c r="D119" s="237"/>
    </row>
  </sheetData>
  <mergeCells count="9">
    <mergeCell ref="C1:F1"/>
    <mergeCell ref="C2:G2"/>
    <mergeCell ref="A3:G3"/>
    <mergeCell ref="A6:A7"/>
    <mergeCell ref="B6:C6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7" firstPageNumber="99" fitToHeight="12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65"/>
  <sheetViews>
    <sheetView topLeftCell="A109" workbookViewId="0">
      <selection activeCell="R13" sqref="R13"/>
    </sheetView>
  </sheetViews>
  <sheetFormatPr defaultColWidth="8.7109375" defaultRowHeight="15.75"/>
  <cols>
    <col min="1" max="1" width="67" style="13" customWidth="1"/>
    <col min="2" max="2" width="6" style="14" customWidth="1"/>
    <col min="3" max="3" width="5.42578125" style="15" customWidth="1"/>
    <col min="4" max="4" width="5.5703125" style="16" customWidth="1"/>
    <col min="5" max="5" width="10.7109375" style="16" customWidth="1"/>
    <col min="6" max="6" width="5.5703125" style="15" customWidth="1"/>
    <col min="7" max="7" width="12.5703125" style="17" hidden="1" customWidth="1"/>
    <col min="8" max="8" width="13.140625" style="17" hidden="1" customWidth="1"/>
    <col min="9" max="9" width="12.85546875" style="19" hidden="1" customWidth="1"/>
    <col min="10" max="10" width="14.28515625" style="19" hidden="1" customWidth="1"/>
    <col min="11" max="11" width="13.85546875" style="19" hidden="1" customWidth="1"/>
    <col min="12" max="12" width="14.28515625" style="19" hidden="1" customWidth="1"/>
    <col min="13" max="13" width="14.5703125" style="19" hidden="1" customWidth="1"/>
    <col min="14" max="14" width="17.140625" style="19" hidden="1" customWidth="1"/>
    <col min="15" max="15" width="17.140625" style="18" hidden="1" customWidth="1"/>
    <col min="16" max="16" width="20.42578125" style="18" customWidth="1"/>
    <col min="17" max="17" width="20.42578125" style="92" hidden="1" customWidth="1"/>
    <col min="18" max="16384" width="8.7109375" style="19"/>
  </cols>
  <sheetData>
    <row r="1" spans="1:17">
      <c r="E1" s="394" t="s">
        <v>1064</v>
      </c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98"/>
    </row>
    <row r="2" spans="1:17" ht="69" customHeight="1">
      <c r="E2" s="379" t="s">
        <v>1065</v>
      </c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17" ht="12.75" customHeight="1"/>
    <row r="4" spans="1:17" s="21" customFormat="1" ht="46.5" customHeight="1">
      <c r="A4" s="425" t="s">
        <v>1063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</row>
    <row r="5" spans="1:17" s="21" customFormat="1">
      <c r="A5" s="22"/>
      <c r="B5" s="22"/>
      <c r="C5" s="22"/>
      <c r="D5" s="22"/>
      <c r="E5" s="22"/>
      <c r="F5" s="22"/>
      <c r="G5" s="22"/>
      <c r="H5" s="22"/>
      <c r="O5" s="20"/>
      <c r="P5" s="20"/>
      <c r="Q5" s="93"/>
    </row>
    <row r="6" spans="1:17" s="21" customFormat="1" ht="16.5" thickBot="1">
      <c r="A6" s="430"/>
      <c r="B6" s="430"/>
      <c r="C6" s="430"/>
      <c r="D6" s="430"/>
      <c r="E6" s="430"/>
      <c r="F6" s="430"/>
      <c r="G6" s="431"/>
      <c r="H6" s="431"/>
      <c r="I6" s="431" t="s">
        <v>752</v>
      </c>
      <c r="J6" s="431"/>
      <c r="K6" s="431"/>
      <c r="L6" s="431"/>
      <c r="O6" s="20"/>
      <c r="P6" s="196" t="s">
        <v>752</v>
      </c>
      <c r="Q6" s="255"/>
    </row>
    <row r="7" spans="1:17" s="21" customFormat="1" ht="38.25" customHeight="1" thickBot="1">
      <c r="A7" s="416" t="s">
        <v>0</v>
      </c>
      <c r="B7" s="418" t="s">
        <v>1</v>
      </c>
      <c r="C7" s="419"/>
      <c r="D7" s="419"/>
      <c r="E7" s="419"/>
      <c r="F7" s="420"/>
      <c r="G7" s="421" t="s">
        <v>1037</v>
      </c>
      <c r="H7" s="414" t="s">
        <v>1038</v>
      </c>
      <c r="I7" s="414" t="s">
        <v>1037</v>
      </c>
      <c r="J7" s="414" t="s">
        <v>1038</v>
      </c>
      <c r="K7" s="432" t="s">
        <v>1037</v>
      </c>
      <c r="L7" s="434" t="s">
        <v>1038</v>
      </c>
      <c r="M7" s="434" t="s">
        <v>1037</v>
      </c>
      <c r="N7" s="436" t="s">
        <v>1033</v>
      </c>
      <c r="O7" s="412" t="s">
        <v>1034</v>
      </c>
      <c r="P7" s="426" t="s">
        <v>1035</v>
      </c>
      <c r="Q7" s="428" t="s">
        <v>1036</v>
      </c>
    </row>
    <row r="8" spans="1:17" s="21" customFormat="1" ht="48" thickBot="1">
      <c r="A8" s="417"/>
      <c r="B8" s="338" t="s">
        <v>2</v>
      </c>
      <c r="C8" s="321" t="s">
        <v>3</v>
      </c>
      <c r="D8" s="321" t="s">
        <v>4</v>
      </c>
      <c r="E8" s="321" t="s">
        <v>5</v>
      </c>
      <c r="F8" s="321" t="s">
        <v>6</v>
      </c>
      <c r="G8" s="422"/>
      <c r="H8" s="415"/>
      <c r="I8" s="415"/>
      <c r="J8" s="415"/>
      <c r="K8" s="433"/>
      <c r="L8" s="435"/>
      <c r="M8" s="435"/>
      <c r="N8" s="437"/>
      <c r="O8" s="413"/>
      <c r="P8" s="427"/>
      <c r="Q8" s="429"/>
    </row>
    <row r="9" spans="1:17" s="99" customFormat="1" ht="16.5" thickBot="1">
      <c r="A9" s="320">
        <v>1</v>
      </c>
      <c r="B9" s="321">
        <v>2</v>
      </c>
      <c r="C9" s="321">
        <v>3</v>
      </c>
      <c r="D9" s="321">
        <v>4</v>
      </c>
      <c r="E9" s="321">
        <v>5</v>
      </c>
      <c r="F9" s="321">
        <v>6</v>
      </c>
      <c r="G9" s="322">
        <v>7</v>
      </c>
      <c r="H9" s="323">
        <v>8</v>
      </c>
      <c r="I9" s="323">
        <v>7</v>
      </c>
      <c r="J9" s="323">
        <v>8</v>
      </c>
      <c r="K9" s="324">
        <v>7</v>
      </c>
      <c r="L9" s="321">
        <v>8</v>
      </c>
      <c r="M9" s="321">
        <v>7</v>
      </c>
      <c r="N9" s="325">
        <v>7</v>
      </c>
      <c r="O9" s="326">
        <v>8</v>
      </c>
      <c r="P9" s="327" t="s">
        <v>1754</v>
      </c>
      <c r="Q9" s="272">
        <v>10</v>
      </c>
    </row>
    <row r="10" spans="1:17">
      <c r="A10" s="423" t="s">
        <v>7</v>
      </c>
      <c r="B10" s="424"/>
      <c r="C10" s="424"/>
      <c r="D10" s="424"/>
      <c r="E10" s="424"/>
      <c r="F10" s="424"/>
      <c r="G10" s="23">
        <v>106186.3</v>
      </c>
      <c r="H10" s="23">
        <v>1370651.4</v>
      </c>
      <c r="I10" s="24" t="e">
        <f>I11+I26+I245</f>
        <v>#REF!</v>
      </c>
      <c r="J10" s="24" t="e">
        <f>J11+J26+J245</f>
        <v>#REF!</v>
      </c>
      <c r="K10" s="24" t="e">
        <f>K11+K26+K245</f>
        <v>#REF!</v>
      </c>
      <c r="L10" s="24" t="e">
        <f>L11+L26+L245</f>
        <v>#REF!</v>
      </c>
      <c r="M10" s="24" t="e">
        <f>M11+M26+M245</f>
        <v>#REF!</v>
      </c>
      <c r="N10" s="24">
        <v>1823158.9</v>
      </c>
      <c r="O10" s="24">
        <v>1825715.8</v>
      </c>
      <c r="P10" s="347">
        <v>1817809</v>
      </c>
      <c r="Q10" s="256">
        <v>99.57</v>
      </c>
    </row>
    <row r="11" spans="1:17" s="30" customFormat="1">
      <c r="A11" s="26" t="s">
        <v>8</v>
      </c>
      <c r="B11" s="27" t="s">
        <v>501</v>
      </c>
      <c r="C11" s="27" t="s">
        <v>9</v>
      </c>
      <c r="D11" s="27"/>
      <c r="E11" s="27"/>
      <c r="F11" s="27"/>
      <c r="G11" s="28">
        <v>8059.1</v>
      </c>
      <c r="H11" s="28">
        <v>42366.2</v>
      </c>
      <c r="I11" s="29" t="e">
        <f>I12+I22</f>
        <v>#REF!</v>
      </c>
      <c r="J11" s="29" t="e">
        <f>J12+J22</f>
        <v>#REF!</v>
      </c>
      <c r="K11" s="29" t="e">
        <f>K12+K22</f>
        <v>#REF!</v>
      </c>
      <c r="L11" s="29" t="e">
        <f>L12+L22</f>
        <v>#REF!</v>
      </c>
      <c r="M11" s="29" t="e">
        <f>M12+M22</f>
        <v>#REF!</v>
      </c>
      <c r="N11" s="29">
        <v>42592.800000000003</v>
      </c>
      <c r="O11" s="29">
        <v>42640.800000000003</v>
      </c>
      <c r="P11" s="348">
        <v>42640.3</v>
      </c>
      <c r="Q11" s="256">
        <v>100</v>
      </c>
    </row>
    <row r="12" spans="1:17" s="30" customFormat="1">
      <c r="A12" s="26" t="s">
        <v>10</v>
      </c>
      <c r="B12" s="27" t="s">
        <v>501</v>
      </c>
      <c r="C12" s="27" t="s">
        <v>9</v>
      </c>
      <c r="D12" s="27" t="s">
        <v>11</v>
      </c>
      <c r="E12" s="27"/>
      <c r="F12" s="27"/>
      <c r="G12" s="28">
        <v>7159.1</v>
      </c>
      <c r="H12" s="28">
        <v>40366.199999999997</v>
      </c>
      <c r="I12" s="29" t="e">
        <f>I15+#REF!</f>
        <v>#REF!</v>
      </c>
      <c r="J12" s="29" t="e">
        <f>J15+#REF!+J13</f>
        <v>#REF!</v>
      </c>
      <c r="K12" s="29" t="e">
        <f>K15+#REF!+K13</f>
        <v>#REF!</v>
      </c>
      <c r="L12" s="29" t="e">
        <f>L15+#REF!+L13</f>
        <v>#REF!</v>
      </c>
      <c r="M12" s="29" t="e">
        <f>M15+#REF!+M13</f>
        <v>#REF!</v>
      </c>
      <c r="N12" s="29">
        <v>40592.800000000003</v>
      </c>
      <c r="O12" s="29">
        <v>40640.800000000003</v>
      </c>
      <c r="P12" s="348">
        <v>40640.800000000003</v>
      </c>
      <c r="Q12" s="256">
        <v>100</v>
      </c>
    </row>
    <row r="13" spans="1:17" s="30" customFormat="1" ht="78.75">
      <c r="A13" s="33" t="s">
        <v>973</v>
      </c>
      <c r="B13" s="10" t="s">
        <v>501</v>
      </c>
      <c r="C13" s="10" t="s">
        <v>9</v>
      </c>
      <c r="D13" s="10" t="s">
        <v>11</v>
      </c>
      <c r="E13" s="10" t="s">
        <v>972</v>
      </c>
      <c r="F13" s="10"/>
      <c r="G13" s="11"/>
      <c r="H13" s="11"/>
      <c r="I13" s="7"/>
      <c r="J13" s="7">
        <f t="shared" ref="J13:M13" si="0">J14</f>
        <v>0</v>
      </c>
      <c r="K13" s="7">
        <f t="shared" si="0"/>
        <v>64</v>
      </c>
      <c r="L13" s="7">
        <f t="shared" si="0"/>
        <v>64</v>
      </c>
      <c r="M13" s="7">
        <f t="shared" si="0"/>
        <v>0</v>
      </c>
      <c r="N13" s="7">
        <v>64</v>
      </c>
      <c r="O13" s="7">
        <v>112</v>
      </c>
      <c r="P13" s="349">
        <v>112</v>
      </c>
      <c r="Q13" s="257">
        <v>100</v>
      </c>
    </row>
    <row r="14" spans="1:17" s="30" customFormat="1">
      <c r="A14" s="8" t="s">
        <v>373</v>
      </c>
      <c r="B14" s="10" t="s">
        <v>501</v>
      </c>
      <c r="C14" s="10" t="s">
        <v>9</v>
      </c>
      <c r="D14" s="10" t="s">
        <v>11</v>
      </c>
      <c r="E14" s="10" t="s">
        <v>972</v>
      </c>
      <c r="F14" s="10" t="s">
        <v>372</v>
      </c>
      <c r="G14" s="11"/>
      <c r="H14" s="11"/>
      <c r="I14" s="7"/>
      <c r="J14" s="7"/>
      <c r="K14" s="7">
        <v>64</v>
      </c>
      <c r="L14" s="7">
        <f>J14+K14</f>
        <v>64</v>
      </c>
      <c r="M14" s="7"/>
      <c r="N14" s="7">
        <v>64</v>
      </c>
      <c r="O14" s="7">
        <v>112</v>
      </c>
      <c r="P14" s="349">
        <v>112</v>
      </c>
      <c r="Q14" s="257">
        <v>100</v>
      </c>
    </row>
    <row r="15" spans="1:17" s="12" customFormat="1">
      <c r="A15" s="8" t="s">
        <v>363</v>
      </c>
      <c r="B15" s="10" t="s">
        <v>501</v>
      </c>
      <c r="C15" s="10" t="s">
        <v>9</v>
      </c>
      <c r="D15" s="10" t="s">
        <v>11</v>
      </c>
      <c r="E15" s="10" t="s">
        <v>364</v>
      </c>
      <c r="F15" s="10"/>
      <c r="G15" s="11">
        <v>39091.800000000003</v>
      </c>
      <c r="H15" s="11">
        <v>39091.800000000003</v>
      </c>
      <c r="I15" s="7" t="e">
        <f t="shared" ref="I15:M15" si="1">I16+I19</f>
        <v>#REF!</v>
      </c>
      <c r="J15" s="7">
        <f t="shared" si="1"/>
        <v>39091.800000000003</v>
      </c>
      <c r="K15" s="7">
        <f t="shared" si="1"/>
        <v>1437</v>
      </c>
      <c r="L15" s="7">
        <f t="shared" si="1"/>
        <v>40528.800000000003</v>
      </c>
      <c r="M15" s="7">
        <f t="shared" si="1"/>
        <v>0</v>
      </c>
      <c r="N15" s="7">
        <v>40528.800000000003</v>
      </c>
      <c r="O15" s="7">
        <v>40528.800000000003</v>
      </c>
      <c r="P15" s="349">
        <v>40528.800000000003</v>
      </c>
      <c r="Q15" s="257">
        <v>100</v>
      </c>
    </row>
    <row r="16" spans="1:17" s="12" customFormat="1" ht="63">
      <c r="A16" s="8" t="s">
        <v>667</v>
      </c>
      <c r="B16" s="10" t="s">
        <v>501</v>
      </c>
      <c r="C16" s="10" t="s">
        <v>9</v>
      </c>
      <c r="D16" s="10" t="s">
        <v>11</v>
      </c>
      <c r="E16" s="10" t="s">
        <v>668</v>
      </c>
      <c r="F16" s="10"/>
      <c r="G16" s="11">
        <v>39091.800000000003</v>
      </c>
      <c r="H16" s="11">
        <v>39091.800000000003</v>
      </c>
      <c r="I16" s="7" t="e">
        <f>#REF!+#REF!+I17</f>
        <v>#REF!</v>
      </c>
      <c r="J16" s="7">
        <f t="shared" ref="J16:M16" si="2">J17+J18</f>
        <v>34492.300000000003</v>
      </c>
      <c r="K16" s="7">
        <f t="shared" si="2"/>
        <v>3294</v>
      </c>
      <c r="L16" s="7">
        <f t="shared" si="2"/>
        <v>37786.300000000003</v>
      </c>
      <c r="M16" s="7">
        <f t="shared" si="2"/>
        <v>0</v>
      </c>
      <c r="N16" s="7">
        <v>37786.300000000003</v>
      </c>
      <c r="O16" s="7">
        <v>37786.300000000003</v>
      </c>
      <c r="P16" s="349">
        <v>37786.300000000003</v>
      </c>
      <c r="Q16" s="257">
        <v>100</v>
      </c>
    </row>
    <row r="17" spans="1:17" s="12" customFormat="1" ht="47.25">
      <c r="A17" s="8" t="s">
        <v>360</v>
      </c>
      <c r="B17" s="10" t="s">
        <v>501</v>
      </c>
      <c r="C17" s="10" t="s">
        <v>9</v>
      </c>
      <c r="D17" s="10" t="s">
        <v>11</v>
      </c>
      <c r="E17" s="10" t="s">
        <v>668</v>
      </c>
      <c r="F17" s="10" t="s">
        <v>359</v>
      </c>
      <c r="G17" s="11">
        <v>34492.300000000003</v>
      </c>
      <c r="H17" s="31">
        <v>34492.300000000003</v>
      </c>
      <c r="I17" s="7"/>
      <c r="J17" s="7">
        <f>H17+I17</f>
        <v>34492.300000000003</v>
      </c>
      <c r="K17" s="7">
        <f>1437+607</f>
        <v>2044</v>
      </c>
      <c r="L17" s="7">
        <f>J17+K17</f>
        <v>36536.300000000003</v>
      </c>
      <c r="M17" s="7"/>
      <c r="N17" s="7">
        <v>36536.300000000003</v>
      </c>
      <c r="O17" s="7">
        <v>36536.300000000003</v>
      </c>
      <c r="P17" s="349">
        <v>36536.300000000003</v>
      </c>
      <c r="Q17" s="257">
        <v>100</v>
      </c>
    </row>
    <row r="18" spans="1:17" s="12" customFormat="1">
      <c r="A18" s="8" t="s">
        <v>373</v>
      </c>
      <c r="B18" s="10" t="s">
        <v>501</v>
      </c>
      <c r="C18" s="10" t="s">
        <v>9</v>
      </c>
      <c r="D18" s="10" t="s">
        <v>11</v>
      </c>
      <c r="E18" s="10" t="s">
        <v>668</v>
      </c>
      <c r="F18" s="10" t="s">
        <v>372</v>
      </c>
      <c r="G18" s="11"/>
      <c r="H18" s="31"/>
      <c r="I18" s="7"/>
      <c r="J18" s="7"/>
      <c r="K18" s="7">
        <v>1250</v>
      </c>
      <c r="L18" s="7">
        <f>J18+K18</f>
        <v>1250</v>
      </c>
      <c r="M18" s="7"/>
      <c r="N18" s="7">
        <v>1250</v>
      </c>
      <c r="O18" s="7">
        <v>1250</v>
      </c>
      <c r="P18" s="349">
        <v>1250</v>
      </c>
      <c r="Q18" s="257">
        <v>100</v>
      </c>
    </row>
    <row r="19" spans="1:17" s="12" customFormat="1" ht="94.5">
      <c r="A19" s="8" t="s">
        <v>1039</v>
      </c>
      <c r="B19" s="10" t="s">
        <v>501</v>
      </c>
      <c r="C19" s="10" t="s">
        <v>9</v>
      </c>
      <c r="D19" s="10" t="s">
        <v>11</v>
      </c>
      <c r="E19" s="10" t="s">
        <v>882</v>
      </c>
      <c r="F19" s="10"/>
      <c r="G19" s="11"/>
      <c r="H19" s="31">
        <f t="shared" ref="H19:M19" si="3">H20+H21</f>
        <v>0</v>
      </c>
      <c r="I19" s="31">
        <f t="shared" si="3"/>
        <v>4599.5</v>
      </c>
      <c r="J19" s="31">
        <f t="shared" si="3"/>
        <v>4599.5</v>
      </c>
      <c r="K19" s="31">
        <f t="shared" si="3"/>
        <v>-1857</v>
      </c>
      <c r="L19" s="31">
        <f t="shared" si="3"/>
        <v>2742.5</v>
      </c>
      <c r="M19" s="31">
        <f t="shared" si="3"/>
        <v>0</v>
      </c>
      <c r="N19" s="31">
        <v>2742.5</v>
      </c>
      <c r="O19" s="36">
        <v>2742.5</v>
      </c>
      <c r="P19" s="350">
        <v>2742.5</v>
      </c>
      <c r="Q19" s="257">
        <v>100</v>
      </c>
    </row>
    <row r="20" spans="1:17" s="12" customFormat="1" ht="31.5">
      <c r="A20" s="8" t="s">
        <v>389</v>
      </c>
      <c r="B20" s="10" t="s">
        <v>501</v>
      </c>
      <c r="C20" s="10" t="s">
        <v>9</v>
      </c>
      <c r="D20" s="10" t="s">
        <v>11</v>
      </c>
      <c r="E20" s="10" t="s">
        <v>882</v>
      </c>
      <c r="F20" s="10" t="s">
        <v>369</v>
      </c>
      <c r="G20" s="11"/>
      <c r="H20" s="31"/>
      <c r="I20" s="7">
        <v>462.1</v>
      </c>
      <c r="J20" s="7">
        <f>H20+I20</f>
        <v>462.1</v>
      </c>
      <c r="K20" s="7">
        <v>-127</v>
      </c>
      <c r="L20" s="7">
        <f>J20+K20</f>
        <v>335.1</v>
      </c>
      <c r="M20" s="7"/>
      <c r="N20" s="7">
        <v>335.1</v>
      </c>
      <c r="O20" s="7">
        <v>335.1</v>
      </c>
      <c r="P20" s="349">
        <v>335.1</v>
      </c>
      <c r="Q20" s="257">
        <v>100</v>
      </c>
    </row>
    <row r="21" spans="1:17" s="12" customFormat="1" ht="31.5">
      <c r="A21" s="8" t="s">
        <v>586</v>
      </c>
      <c r="B21" s="10" t="s">
        <v>501</v>
      </c>
      <c r="C21" s="10" t="s">
        <v>9</v>
      </c>
      <c r="D21" s="10" t="s">
        <v>11</v>
      </c>
      <c r="E21" s="10" t="s">
        <v>882</v>
      </c>
      <c r="F21" s="10" t="s">
        <v>368</v>
      </c>
      <c r="G21" s="11"/>
      <c r="H21" s="31"/>
      <c r="I21" s="7">
        <v>4137.3999999999996</v>
      </c>
      <c r="J21" s="7">
        <f>H21+I21</f>
        <v>4137.3999999999996</v>
      </c>
      <c r="K21" s="7">
        <v>-1730</v>
      </c>
      <c r="L21" s="7">
        <f>J21+K21</f>
        <v>2407.4</v>
      </c>
      <c r="M21" s="7"/>
      <c r="N21" s="7">
        <v>2407.4</v>
      </c>
      <c r="O21" s="7">
        <v>2407.4</v>
      </c>
      <c r="P21" s="349">
        <v>2407.4</v>
      </c>
      <c r="Q21" s="257">
        <v>100</v>
      </c>
    </row>
    <row r="22" spans="1:17" s="30" customFormat="1" ht="31.5">
      <c r="A22" s="26" t="s">
        <v>75</v>
      </c>
      <c r="B22" s="27" t="s">
        <v>501</v>
      </c>
      <c r="C22" s="27" t="s">
        <v>9</v>
      </c>
      <c r="D22" s="27" t="s">
        <v>31</v>
      </c>
      <c r="E22" s="27"/>
      <c r="F22" s="27"/>
      <c r="G22" s="28">
        <v>900</v>
      </c>
      <c r="H22" s="28">
        <v>2000</v>
      </c>
      <c r="I22" s="29" t="e">
        <f>#REF!+I23</f>
        <v>#REF!</v>
      </c>
      <c r="J22" s="29">
        <f t="shared" ref="J22:M22" si="4">J23</f>
        <v>2000</v>
      </c>
      <c r="K22" s="29">
        <f t="shared" si="4"/>
        <v>0</v>
      </c>
      <c r="L22" s="29">
        <f t="shared" si="4"/>
        <v>2000</v>
      </c>
      <c r="M22" s="29">
        <f t="shared" si="4"/>
        <v>0</v>
      </c>
      <c r="N22" s="29">
        <v>2000</v>
      </c>
      <c r="O22" s="29">
        <v>2000</v>
      </c>
      <c r="P22" s="348">
        <v>1999.5</v>
      </c>
      <c r="Q22" s="256">
        <v>99.98</v>
      </c>
    </row>
    <row r="23" spans="1:17" s="12" customFormat="1">
      <c r="A23" s="8" t="s">
        <v>456</v>
      </c>
      <c r="B23" s="10" t="s">
        <v>501</v>
      </c>
      <c r="C23" s="10" t="s">
        <v>9</v>
      </c>
      <c r="D23" s="10" t="s">
        <v>31</v>
      </c>
      <c r="E23" s="10" t="s">
        <v>364</v>
      </c>
      <c r="F23" s="10"/>
      <c r="G23" s="11"/>
      <c r="H23" s="31">
        <f t="shared" ref="H23:M24" si="5">H24</f>
        <v>0</v>
      </c>
      <c r="I23" s="31">
        <f t="shared" si="5"/>
        <v>2000</v>
      </c>
      <c r="J23" s="31">
        <f t="shared" si="5"/>
        <v>2000</v>
      </c>
      <c r="K23" s="31">
        <f t="shared" si="5"/>
        <v>0</v>
      </c>
      <c r="L23" s="31">
        <f t="shared" si="5"/>
        <v>2000</v>
      </c>
      <c r="M23" s="31">
        <f t="shared" si="5"/>
        <v>0</v>
      </c>
      <c r="N23" s="31">
        <v>2000</v>
      </c>
      <c r="O23" s="36">
        <v>2000</v>
      </c>
      <c r="P23" s="350">
        <v>1999.5</v>
      </c>
      <c r="Q23" s="257">
        <v>99.98</v>
      </c>
    </row>
    <row r="24" spans="1:17" s="12" customFormat="1" ht="47.25">
      <c r="A24" s="8" t="s">
        <v>884</v>
      </c>
      <c r="B24" s="10" t="s">
        <v>501</v>
      </c>
      <c r="C24" s="10" t="s">
        <v>9</v>
      </c>
      <c r="D24" s="10" t="s">
        <v>31</v>
      </c>
      <c r="E24" s="10" t="s">
        <v>883</v>
      </c>
      <c r="F24" s="10"/>
      <c r="G24" s="11"/>
      <c r="H24" s="31">
        <f t="shared" si="5"/>
        <v>0</v>
      </c>
      <c r="I24" s="31">
        <f t="shared" si="5"/>
        <v>2000</v>
      </c>
      <c r="J24" s="31">
        <f t="shared" si="5"/>
        <v>2000</v>
      </c>
      <c r="K24" s="31">
        <f t="shared" si="5"/>
        <v>0</v>
      </c>
      <c r="L24" s="31">
        <f t="shared" si="5"/>
        <v>2000</v>
      </c>
      <c r="M24" s="31">
        <f t="shared" si="5"/>
        <v>0</v>
      </c>
      <c r="N24" s="31">
        <v>2000</v>
      </c>
      <c r="O24" s="36">
        <v>2000</v>
      </c>
      <c r="P24" s="350">
        <v>1999.5</v>
      </c>
      <c r="Q24" s="257">
        <v>99.98</v>
      </c>
    </row>
    <row r="25" spans="1:17" s="12" customFormat="1">
      <c r="A25" s="8" t="s">
        <v>362</v>
      </c>
      <c r="B25" s="10" t="s">
        <v>501</v>
      </c>
      <c r="C25" s="10" t="s">
        <v>9</v>
      </c>
      <c r="D25" s="10" t="s">
        <v>31</v>
      </c>
      <c r="E25" s="10" t="s">
        <v>883</v>
      </c>
      <c r="F25" s="10" t="s">
        <v>334</v>
      </c>
      <c r="G25" s="11"/>
      <c r="H25" s="31"/>
      <c r="I25" s="7">
        <v>2000</v>
      </c>
      <c r="J25" s="7">
        <f>H25+I25</f>
        <v>2000</v>
      </c>
      <c r="K25" s="7"/>
      <c r="L25" s="7">
        <f>J25+K25</f>
        <v>2000</v>
      </c>
      <c r="M25" s="7"/>
      <c r="N25" s="7">
        <v>2000</v>
      </c>
      <c r="O25" s="7">
        <v>2000</v>
      </c>
      <c r="P25" s="349">
        <v>1999.5</v>
      </c>
      <c r="Q25" s="257">
        <v>99.98</v>
      </c>
    </row>
    <row r="26" spans="1:17" s="30" customFormat="1">
      <c r="A26" s="26" t="s">
        <v>13</v>
      </c>
      <c r="B26" s="27" t="s">
        <v>501</v>
      </c>
      <c r="C26" s="27" t="s">
        <v>14</v>
      </c>
      <c r="D26" s="27"/>
      <c r="E26" s="27"/>
      <c r="F26" s="27"/>
      <c r="G26" s="28">
        <v>-69011</v>
      </c>
      <c r="H26" s="28">
        <v>485283.2</v>
      </c>
      <c r="I26" s="29" t="e">
        <f>I27+I90+I141+I148+I153+I164+I169</f>
        <v>#REF!</v>
      </c>
      <c r="J26" s="29" t="e">
        <f>J27+J90+J141+J148+J153+J164+J169</f>
        <v>#REF!</v>
      </c>
      <c r="K26" s="29" t="e">
        <f>K27+K90+K141+K148+K153+K164+K169</f>
        <v>#REF!</v>
      </c>
      <c r="L26" s="29" t="e">
        <f>L27+L90+L141+L148+L153+L164+L169</f>
        <v>#REF!</v>
      </c>
      <c r="M26" s="29" t="e">
        <f>M27+M90+M141+M148+M153+M164+M169</f>
        <v>#REF!</v>
      </c>
      <c r="N26" s="29">
        <v>914223.6</v>
      </c>
      <c r="O26" s="29">
        <v>916732.5</v>
      </c>
      <c r="P26" s="348">
        <v>908826.2</v>
      </c>
      <c r="Q26" s="256">
        <v>99.14</v>
      </c>
    </row>
    <row r="27" spans="1:17" s="30" customFormat="1">
      <c r="A27" s="26" t="s">
        <v>15</v>
      </c>
      <c r="B27" s="27" t="s">
        <v>501</v>
      </c>
      <c r="C27" s="27" t="s">
        <v>14</v>
      </c>
      <c r="D27" s="27" t="s">
        <v>16</v>
      </c>
      <c r="E27" s="27"/>
      <c r="F27" s="27"/>
      <c r="G27" s="28">
        <v>-7657.9</v>
      </c>
      <c r="H27" s="28">
        <v>196383.5</v>
      </c>
      <c r="I27" s="29" t="e">
        <f>I45+#REF!+I38+I28+I82</f>
        <v>#REF!</v>
      </c>
      <c r="J27" s="29" t="e">
        <f>J45+#REF!+J38+J28+J82</f>
        <v>#REF!</v>
      </c>
      <c r="K27" s="29" t="e">
        <f>K45+#REF!+K38+K28+K82+#REF!+K32</f>
        <v>#REF!</v>
      </c>
      <c r="L27" s="29" t="e">
        <f>L45+#REF!+L38+L28+L82+#REF!+L32+L35</f>
        <v>#REF!</v>
      </c>
      <c r="M27" s="29" t="e">
        <f>M45+#REF!+M38+M28+M82+#REF!+M32+M35</f>
        <v>#REF!</v>
      </c>
      <c r="N27" s="29">
        <v>194463</v>
      </c>
      <c r="O27" s="29">
        <v>194463.2</v>
      </c>
      <c r="P27" s="348">
        <v>191300.2</v>
      </c>
      <c r="Q27" s="256">
        <v>98.37</v>
      </c>
    </row>
    <row r="28" spans="1:17" s="30" customFormat="1" ht="63">
      <c r="A28" s="9" t="s">
        <v>840</v>
      </c>
      <c r="B28" s="10" t="s">
        <v>501</v>
      </c>
      <c r="C28" s="10" t="s">
        <v>14</v>
      </c>
      <c r="D28" s="10" t="s">
        <v>16</v>
      </c>
      <c r="E28" s="10" t="s">
        <v>838</v>
      </c>
      <c r="F28" s="10"/>
      <c r="G28" s="11"/>
      <c r="H28" s="11">
        <f t="shared" ref="H28:M28" si="6">H29</f>
        <v>0</v>
      </c>
      <c r="I28" s="11">
        <f t="shared" si="6"/>
        <v>16262.5</v>
      </c>
      <c r="J28" s="11">
        <f t="shared" si="6"/>
        <v>16262.5</v>
      </c>
      <c r="K28" s="11">
        <f t="shared" si="6"/>
        <v>9.3000000000000007</v>
      </c>
      <c r="L28" s="11">
        <f t="shared" si="6"/>
        <v>16271.8</v>
      </c>
      <c r="M28" s="11">
        <f t="shared" si="6"/>
        <v>0</v>
      </c>
      <c r="N28" s="11">
        <v>16271.8</v>
      </c>
      <c r="O28" s="52">
        <v>16271.8</v>
      </c>
      <c r="P28" s="349">
        <v>16271.8</v>
      </c>
      <c r="Q28" s="257">
        <v>100</v>
      </c>
    </row>
    <row r="29" spans="1:17" s="30" customFormat="1" ht="63">
      <c r="A29" s="9" t="s">
        <v>841</v>
      </c>
      <c r="B29" s="10" t="s">
        <v>501</v>
      </c>
      <c r="C29" s="10" t="s">
        <v>14</v>
      </c>
      <c r="D29" s="10" t="s">
        <v>16</v>
      </c>
      <c r="E29" s="10" t="s">
        <v>839</v>
      </c>
      <c r="F29" s="10"/>
      <c r="G29" s="11"/>
      <c r="H29" s="11">
        <f t="shared" ref="H29:M29" si="7">H30+H31</f>
        <v>0</v>
      </c>
      <c r="I29" s="11">
        <f t="shared" si="7"/>
        <v>16262.5</v>
      </c>
      <c r="J29" s="11">
        <f t="shared" si="7"/>
        <v>16262.5</v>
      </c>
      <c r="K29" s="11">
        <f t="shared" si="7"/>
        <v>9.3000000000000007</v>
      </c>
      <c r="L29" s="11">
        <f t="shared" si="7"/>
        <v>16271.8</v>
      </c>
      <c r="M29" s="11">
        <f t="shared" si="7"/>
        <v>0</v>
      </c>
      <c r="N29" s="11">
        <v>16271.8</v>
      </c>
      <c r="O29" s="52">
        <v>16271.8</v>
      </c>
      <c r="P29" s="349">
        <v>16271.8</v>
      </c>
      <c r="Q29" s="257">
        <v>100</v>
      </c>
    </row>
    <row r="30" spans="1:17" s="30" customFormat="1">
      <c r="A30" s="8" t="s">
        <v>362</v>
      </c>
      <c r="B30" s="10" t="s">
        <v>501</v>
      </c>
      <c r="C30" s="10" t="s">
        <v>14</v>
      </c>
      <c r="D30" s="10" t="s">
        <v>16</v>
      </c>
      <c r="E30" s="10" t="s">
        <v>839</v>
      </c>
      <c r="F30" s="10" t="s">
        <v>334</v>
      </c>
      <c r="G30" s="11"/>
      <c r="H30" s="11"/>
      <c r="I30" s="7">
        <v>7279.6</v>
      </c>
      <c r="J30" s="7">
        <f>H30+I30</f>
        <v>7279.6</v>
      </c>
      <c r="K30" s="7"/>
      <c r="L30" s="7">
        <f>J30+K30</f>
        <v>7279.6</v>
      </c>
      <c r="M30" s="7"/>
      <c r="N30" s="7">
        <v>7279.6</v>
      </c>
      <c r="O30" s="7">
        <v>7279.6</v>
      </c>
      <c r="P30" s="349">
        <v>7279.6</v>
      </c>
      <c r="Q30" s="257">
        <v>100</v>
      </c>
    </row>
    <row r="31" spans="1:17" s="30" customFormat="1">
      <c r="A31" s="8" t="s">
        <v>373</v>
      </c>
      <c r="B31" s="10" t="s">
        <v>501</v>
      </c>
      <c r="C31" s="10" t="s">
        <v>14</v>
      </c>
      <c r="D31" s="10" t="s">
        <v>16</v>
      </c>
      <c r="E31" s="10" t="s">
        <v>839</v>
      </c>
      <c r="F31" s="10" t="s">
        <v>372</v>
      </c>
      <c r="G31" s="11"/>
      <c r="H31" s="11"/>
      <c r="I31" s="7">
        <v>8982.9</v>
      </c>
      <c r="J31" s="7">
        <f>H31+I31</f>
        <v>8982.9</v>
      </c>
      <c r="K31" s="7">
        <v>9.3000000000000007</v>
      </c>
      <c r="L31" s="7">
        <f>J31+K31</f>
        <v>8992.2000000000007</v>
      </c>
      <c r="M31" s="7"/>
      <c r="N31" s="7">
        <v>8992.2000000000007</v>
      </c>
      <c r="O31" s="7">
        <v>8992.2000000000007</v>
      </c>
      <c r="P31" s="349">
        <v>8992.2000000000007</v>
      </c>
      <c r="Q31" s="257">
        <v>100</v>
      </c>
    </row>
    <row r="32" spans="1:17" s="30" customFormat="1" ht="31.5">
      <c r="A32" s="8" t="s">
        <v>922</v>
      </c>
      <c r="B32" s="10" t="s">
        <v>501</v>
      </c>
      <c r="C32" s="10" t="s">
        <v>14</v>
      </c>
      <c r="D32" s="10" t="s">
        <v>16</v>
      </c>
      <c r="E32" s="10" t="s">
        <v>921</v>
      </c>
      <c r="F32" s="10"/>
      <c r="G32" s="11"/>
      <c r="H32" s="11"/>
      <c r="I32" s="7"/>
      <c r="J32" s="7"/>
      <c r="K32" s="7">
        <f t="shared" ref="K32:M33" si="8">K33</f>
        <v>126.7</v>
      </c>
      <c r="L32" s="7">
        <f t="shared" si="8"/>
        <v>126.7</v>
      </c>
      <c r="M32" s="7">
        <f t="shared" si="8"/>
        <v>0</v>
      </c>
      <c r="N32" s="7">
        <v>126.7</v>
      </c>
      <c r="O32" s="7">
        <v>126.7</v>
      </c>
      <c r="P32" s="349">
        <v>126.7</v>
      </c>
      <c r="Q32" s="257">
        <v>100</v>
      </c>
    </row>
    <row r="33" spans="1:17" s="30" customFormat="1" ht="31.5">
      <c r="A33" s="8" t="s">
        <v>923</v>
      </c>
      <c r="B33" s="10" t="s">
        <v>501</v>
      </c>
      <c r="C33" s="10" t="s">
        <v>14</v>
      </c>
      <c r="D33" s="10" t="s">
        <v>16</v>
      </c>
      <c r="E33" s="10" t="s">
        <v>920</v>
      </c>
      <c r="F33" s="10"/>
      <c r="G33" s="11"/>
      <c r="H33" s="11"/>
      <c r="I33" s="7"/>
      <c r="J33" s="7"/>
      <c r="K33" s="7">
        <f t="shared" si="8"/>
        <v>126.7</v>
      </c>
      <c r="L33" s="7">
        <f t="shared" si="8"/>
        <v>126.7</v>
      </c>
      <c r="M33" s="7">
        <f t="shared" si="8"/>
        <v>0</v>
      </c>
      <c r="N33" s="7">
        <v>126.7</v>
      </c>
      <c r="O33" s="7">
        <v>126.7</v>
      </c>
      <c r="P33" s="349">
        <v>126.7</v>
      </c>
      <c r="Q33" s="257">
        <v>100</v>
      </c>
    </row>
    <row r="34" spans="1:17" s="30" customFormat="1">
      <c r="A34" s="8" t="s">
        <v>373</v>
      </c>
      <c r="B34" s="10" t="s">
        <v>501</v>
      </c>
      <c r="C34" s="10" t="s">
        <v>14</v>
      </c>
      <c r="D34" s="10" t="s">
        <v>16</v>
      </c>
      <c r="E34" s="10" t="s">
        <v>920</v>
      </c>
      <c r="F34" s="10" t="s">
        <v>372</v>
      </c>
      <c r="G34" s="11"/>
      <c r="H34" s="11"/>
      <c r="I34" s="7"/>
      <c r="J34" s="7"/>
      <c r="K34" s="7">
        <v>126.7</v>
      </c>
      <c r="L34" s="7">
        <f>J34+K34</f>
        <v>126.7</v>
      </c>
      <c r="M34" s="7"/>
      <c r="N34" s="7">
        <v>126.7</v>
      </c>
      <c r="O34" s="7">
        <v>126.7</v>
      </c>
      <c r="P34" s="349">
        <v>126.7</v>
      </c>
      <c r="Q34" s="257">
        <v>100</v>
      </c>
    </row>
    <row r="35" spans="1:17" s="30" customFormat="1" ht="31.5">
      <c r="A35" s="32" t="s">
        <v>1023</v>
      </c>
      <c r="B35" s="10" t="s">
        <v>501</v>
      </c>
      <c r="C35" s="10" t="s">
        <v>14</v>
      </c>
      <c r="D35" s="10" t="s">
        <v>16</v>
      </c>
      <c r="E35" s="10" t="s">
        <v>1024</v>
      </c>
      <c r="F35" s="10"/>
      <c r="G35" s="11"/>
      <c r="H35" s="11"/>
      <c r="I35" s="7"/>
      <c r="J35" s="7"/>
      <c r="K35" s="7"/>
      <c r="L35" s="7">
        <f>L36</f>
        <v>0</v>
      </c>
      <c r="M35" s="7">
        <f t="shared" ref="M35:M36" si="9">M36</f>
        <v>9307.6</v>
      </c>
      <c r="N35" s="7">
        <v>9307.6</v>
      </c>
      <c r="O35" s="7">
        <v>9307.6</v>
      </c>
      <c r="P35" s="349">
        <v>6144.6</v>
      </c>
      <c r="Q35" s="257">
        <v>66.02</v>
      </c>
    </row>
    <row r="36" spans="1:17" s="30" customFormat="1" ht="47.25">
      <c r="A36" s="33" t="s">
        <v>1026</v>
      </c>
      <c r="B36" s="10" t="s">
        <v>501</v>
      </c>
      <c r="C36" s="10" t="s">
        <v>14</v>
      </c>
      <c r="D36" s="10" t="s">
        <v>16</v>
      </c>
      <c r="E36" s="10" t="s">
        <v>1025</v>
      </c>
      <c r="F36" s="10"/>
      <c r="G36" s="11"/>
      <c r="H36" s="11"/>
      <c r="I36" s="7"/>
      <c r="J36" s="7"/>
      <c r="K36" s="7"/>
      <c r="L36" s="7">
        <f>L37</f>
        <v>0</v>
      </c>
      <c r="M36" s="7">
        <f t="shared" si="9"/>
        <v>9307.6</v>
      </c>
      <c r="N36" s="7">
        <v>9307.6</v>
      </c>
      <c r="O36" s="7">
        <v>9307.6</v>
      </c>
      <c r="P36" s="349">
        <v>6144.6</v>
      </c>
      <c r="Q36" s="257">
        <v>66.02</v>
      </c>
    </row>
    <row r="37" spans="1:17" s="30" customFormat="1">
      <c r="A37" s="8" t="s">
        <v>362</v>
      </c>
      <c r="B37" s="10" t="s">
        <v>501</v>
      </c>
      <c r="C37" s="10" t="s">
        <v>14</v>
      </c>
      <c r="D37" s="10" t="s">
        <v>16</v>
      </c>
      <c r="E37" s="10" t="s">
        <v>1025</v>
      </c>
      <c r="F37" s="10" t="s">
        <v>334</v>
      </c>
      <c r="G37" s="11"/>
      <c r="H37" s="11"/>
      <c r="I37" s="7"/>
      <c r="J37" s="7"/>
      <c r="K37" s="7"/>
      <c r="L37" s="7"/>
      <c r="M37" s="7">
        <v>9307.6</v>
      </c>
      <c r="N37" s="7">
        <v>9307.6</v>
      </c>
      <c r="O37" s="7">
        <v>9307.6</v>
      </c>
      <c r="P37" s="349">
        <v>6144.6</v>
      </c>
      <c r="Q37" s="257">
        <v>66.02</v>
      </c>
    </row>
    <row r="38" spans="1:17" s="30" customFormat="1" ht="31.5">
      <c r="A38" s="9" t="s">
        <v>779</v>
      </c>
      <c r="B38" s="10" t="s">
        <v>501</v>
      </c>
      <c r="C38" s="10" t="s">
        <v>14</v>
      </c>
      <c r="D38" s="10" t="s">
        <v>16</v>
      </c>
      <c r="E38" s="10" t="s">
        <v>775</v>
      </c>
      <c r="F38" s="10"/>
      <c r="G38" s="11"/>
      <c r="H38" s="11">
        <f t="shared" ref="H38:M38" si="10">H39+H41+H43</f>
        <v>0</v>
      </c>
      <c r="I38" s="11">
        <f t="shared" si="10"/>
        <v>17935.2</v>
      </c>
      <c r="J38" s="11">
        <f t="shared" si="10"/>
        <v>17935.2</v>
      </c>
      <c r="K38" s="11">
        <f t="shared" si="10"/>
        <v>0</v>
      </c>
      <c r="L38" s="11">
        <f t="shared" si="10"/>
        <v>17935.2</v>
      </c>
      <c r="M38" s="11">
        <f t="shared" si="10"/>
        <v>0</v>
      </c>
      <c r="N38" s="11">
        <v>17935.2</v>
      </c>
      <c r="O38" s="52">
        <v>17935.2</v>
      </c>
      <c r="P38" s="349">
        <v>17935.2</v>
      </c>
      <c r="Q38" s="257">
        <v>100</v>
      </c>
    </row>
    <row r="39" spans="1:17" s="30" customFormat="1" ht="63">
      <c r="A39" s="33" t="s">
        <v>780</v>
      </c>
      <c r="B39" s="10" t="s">
        <v>501</v>
      </c>
      <c r="C39" s="10" t="s">
        <v>14</v>
      </c>
      <c r="D39" s="10" t="s">
        <v>16</v>
      </c>
      <c r="E39" s="10" t="s">
        <v>777</v>
      </c>
      <c r="F39" s="10"/>
      <c r="G39" s="11"/>
      <c r="H39" s="11">
        <f t="shared" ref="H39:M39" si="11">H40</f>
        <v>0</v>
      </c>
      <c r="I39" s="11">
        <f t="shared" si="11"/>
        <v>976.1</v>
      </c>
      <c r="J39" s="11">
        <f t="shared" si="11"/>
        <v>976.1</v>
      </c>
      <c r="K39" s="11">
        <f t="shared" si="11"/>
        <v>0</v>
      </c>
      <c r="L39" s="11">
        <f t="shared" si="11"/>
        <v>976.1</v>
      </c>
      <c r="M39" s="11">
        <f t="shared" si="11"/>
        <v>0</v>
      </c>
      <c r="N39" s="11">
        <v>976.1</v>
      </c>
      <c r="O39" s="52">
        <v>976.1</v>
      </c>
      <c r="P39" s="349">
        <v>976.1</v>
      </c>
      <c r="Q39" s="257">
        <v>100</v>
      </c>
    </row>
    <row r="40" spans="1:17" s="30" customFormat="1">
      <c r="A40" s="8" t="s">
        <v>362</v>
      </c>
      <c r="B40" s="10" t="s">
        <v>501</v>
      </c>
      <c r="C40" s="10" t="s">
        <v>14</v>
      </c>
      <c r="D40" s="10" t="s">
        <v>16</v>
      </c>
      <c r="E40" s="10" t="s">
        <v>777</v>
      </c>
      <c r="F40" s="10" t="s">
        <v>334</v>
      </c>
      <c r="G40" s="11"/>
      <c r="H40" s="11"/>
      <c r="I40" s="7">
        <v>976.1</v>
      </c>
      <c r="J40" s="7">
        <f>H40+I40</f>
        <v>976.1</v>
      </c>
      <c r="K40" s="7"/>
      <c r="L40" s="7">
        <f>J40+K40</f>
        <v>976.1</v>
      </c>
      <c r="M40" s="7"/>
      <c r="N40" s="7">
        <v>976.1</v>
      </c>
      <c r="O40" s="7">
        <v>976.1</v>
      </c>
      <c r="P40" s="349">
        <v>976.1</v>
      </c>
      <c r="Q40" s="257">
        <v>100</v>
      </c>
    </row>
    <row r="41" spans="1:17" s="30" customFormat="1" ht="31.5">
      <c r="A41" s="9" t="s">
        <v>781</v>
      </c>
      <c r="B41" s="10" t="s">
        <v>501</v>
      </c>
      <c r="C41" s="10" t="s">
        <v>14</v>
      </c>
      <c r="D41" s="10" t="s">
        <v>16</v>
      </c>
      <c r="E41" s="10" t="s">
        <v>776</v>
      </c>
      <c r="F41" s="10"/>
      <c r="G41" s="11"/>
      <c r="H41" s="11">
        <f t="shared" ref="H41:M41" si="12">H42</f>
        <v>0</v>
      </c>
      <c r="I41" s="11">
        <f t="shared" si="12"/>
        <v>1613.8</v>
      </c>
      <c r="J41" s="11">
        <f t="shared" si="12"/>
        <v>1613.8</v>
      </c>
      <c r="K41" s="11">
        <f t="shared" si="12"/>
        <v>0</v>
      </c>
      <c r="L41" s="11">
        <f t="shared" si="12"/>
        <v>1613.8</v>
      </c>
      <c r="M41" s="11">
        <f t="shared" si="12"/>
        <v>0</v>
      </c>
      <c r="N41" s="11">
        <v>1613.8</v>
      </c>
      <c r="O41" s="52">
        <v>1613.8</v>
      </c>
      <c r="P41" s="349">
        <v>1613.8</v>
      </c>
      <c r="Q41" s="257">
        <v>100</v>
      </c>
    </row>
    <row r="42" spans="1:17" s="30" customFormat="1">
      <c r="A42" s="8" t="s">
        <v>362</v>
      </c>
      <c r="B42" s="10" t="s">
        <v>501</v>
      </c>
      <c r="C42" s="10" t="s">
        <v>14</v>
      </c>
      <c r="D42" s="10" t="s">
        <v>16</v>
      </c>
      <c r="E42" s="10" t="s">
        <v>776</v>
      </c>
      <c r="F42" s="10" t="s">
        <v>334</v>
      </c>
      <c r="G42" s="11"/>
      <c r="H42" s="11"/>
      <c r="I42" s="7">
        <v>1613.8</v>
      </c>
      <c r="J42" s="7">
        <f>H42+I42</f>
        <v>1613.8</v>
      </c>
      <c r="K42" s="7"/>
      <c r="L42" s="7">
        <f>J42+K42</f>
        <v>1613.8</v>
      </c>
      <c r="M42" s="7"/>
      <c r="N42" s="7">
        <v>1613.8</v>
      </c>
      <c r="O42" s="7">
        <v>1613.8</v>
      </c>
      <c r="P42" s="349">
        <v>1613.8</v>
      </c>
      <c r="Q42" s="257">
        <v>100</v>
      </c>
    </row>
    <row r="43" spans="1:17" s="30" customFormat="1">
      <c r="A43" s="32" t="s">
        <v>782</v>
      </c>
      <c r="B43" s="10" t="s">
        <v>501</v>
      </c>
      <c r="C43" s="10" t="s">
        <v>14</v>
      </c>
      <c r="D43" s="10" t="s">
        <v>16</v>
      </c>
      <c r="E43" s="10" t="s">
        <v>778</v>
      </c>
      <c r="F43" s="10"/>
      <c r="G43" s="11"/>
      <c r="H43" s="11">
        <f t="shared" ref="H43:M43" si="13">H44</f>
        <v>0</v>
      </c>
      <c r="I43" s="11">
        <f t="shared" si="13"/>
        <v>15345.3</v>
      </c>
      <c r="J43" s="11">
        <f t="shared" si="13"/>
        <v>15345.3</v>
      </c>
      <c r="K43" s="11">
        <f t="shared" si="13"/>
        <v>0</v>
      </c>
      <c r="L43" s="11">
        <f t="shared" si="13"/>
        <v>15345.3</v>
      </c>
      <c r="M43" s="11">
        <f t="shared" si="13"/>
        <v>0</v>
      </c>
      <c r="N43" s="11">
        <v>15345.3</v>
      </c>
      <c r="O43" s="52">
        <v>15345.3</v>
      </c>
      <c r="P43" s="349">
        <v>15345.3</v>
      </c>
      <c r="Q43" s="257">
        <v>100</v>
      </c>
    </row>
    <row r="44" spans="1:17" s="30" customFormat="1">
      <c r="A44" s="8" t="s">
        <v>362</v>
      </c>
      <c r="B44" s="10" t="s">
        <v>501</v>
      </c>
      <c r="C44" s="10" t="s">
        <v>14</v>
      </c>
      <c r="D44" s="10" t="s">
        <v>16</v>
      </c>
      <c r="E44" s="10" t="s">
        <v>778</v>
      </c>
      <c r="F44" s="10" t="s">
        <v>334</v>
      </c>
      <c r="G44" s="11"/>
      <c r="H44" s="11"/>
      <c r="I44" s="7">
        <v>15345.3</v>
      </c>
      <c r="J44" s="7">
        <f>H44+I44</f>
        <v>15345.3</v>
      </c>
      <c r="K44" s="7"/>
      <c r="L44" s="7">
        <f>J44+K44</f>
        <v>15345.3</v>
      </c>
      <c r="M44" s="7"/>
      <c r="N44" s="7">
        <v>15345.3</v>
      </c>
      <c r="O44" s="7">
        <v>15345.3</v>
      </c>
      <c r="P44" s="349">
        <v>15345.3</v>
      </c>
      <c r="Q44" s="257">
        <v>100</v>
      </c>
    </row>
    <row r="45" spans="1:17" s="12" customFormat="1">
      <c r="A45" s="8" t="s">
        <v>17</v>
      </c>
      <c r="B45" s="10" t="s">
        <v>501</v>
      </c>
      <c r="C45" s="10" t="s">
        <v>14</v>
      </c>
      <c r="D45" s="10" t="s">
        <v>16</v>
      </c>
      <c r="E45" s="34" t="s">
        <v>18</v>
      </c>
      <c r="F45" s="10"/>
      <c r="G45" s="11">
        <v>-35321.800000000003</v>
      </c>
      <c r="H45" s="11">
        <v>168719.6</v>
      </c>
      <c r="I45" s="7" t="e">
        <f t="shared" ref="I45:M45" si="14">I46+I77+I73+I75+I71</f>
        <v>#REF!</v>
      </c>
      <c r="J45" s="7">
        <f t="shared" si="14"/>
        <v>136539.6</v>
      </c>
      <c r="K45" s="7">
        <f t="shared" si="14"/>
        <v>3190.1</v>
      </c>
      <c r="L45" s="7">
        <f t="shared" si="14"/>
        <v>139729.70000000001</v>
      </c>
      <c r="M45" s="7">
        <f t="shared" si="14"/>
        <v>9100</v>
      </c>
      <c r="N45" s="7">
        <v>148829.70000000001</v>
      </c>
      <c r="O45" s="7">
        <v>148829.9</v>
      </c>
      <c r="P45" s="349">
        <v>148829.9</v>
      </c>
      <c r="Q45" s="257">
        <v>100</v>
      </c>
    </row>
    <row r="46" spans="1:17" s="12" customFormat="1" ht="63">
      <c r="A46" s="6" t="s">
        <v>912</v>
      </c>
      <c r="B46" s="10" t="s">
        <v>501</v>
      </c>
      <c r="C46" s="10" t="s">
        <v>14</v>
      </c>
      <c r="D46" s="10" t="s">
        <v>16</v>
      </c>
      <c r="E46" s="10" t="s">
        <v>19</v>
      </c>
      <c r="F46" s="10"/>
      <c r="G46" s="11">
        <v>-35321.800000000003</v>
      </c>
      <c r="H46" s="11">
        <v>107800.8</v>
      </c>
      <c r="I46" s="7" t="e">
        <f>I47+I49+I51+#REF!+#REF!+#REF!+#REF!+I54+#REF!+I59+#REF!+#REF!+I61+#REF!+#REF!+I65+I67+I69+#REF!</f>
        <v>#REF!</v>
      </c>
      <c r="J46" s="7">
        <f t="shared" ref="J46:M46" si="15">J47+J49+J51+J54+J59+J61+J65+J67+J69+J63+J56</f>
        <v>55466.9</v>
      </c>
      <c r="K46" s="7">
        <f t="shared" si="15"/>
        <v>7061.6</v>
      </c>
      <c r="L46" s="7">
        <f t="shared" si="15"/>
        <v>62528.5</v>
      </c>
      <c r="M46" s="7">
        <f t="shared" si="15"/>
        <v>9100</v>
      </c>
      <c r="N46" s="7">
        <v>71628.5</v>
      </c>
      <c r="O46" s="7">
        <v>71628.5</v>
      </c>
      <c r="P46" s="349">
        <v>71628.5</v>
      </c>
      <c r="Q46" s="257">
        <v>100</v>
      </c>
    </row>
    <row r="47" spans="1:17" s="12" customFormat="1" ht="63">
      <c r="A47" s="8" t="s">
        <v>529</v>
      </c>
      <c r="B47" s="10" t="s">
        <v>501</v>
      </c>
      <c r="C47" s="10" t="s">
        <v>14</v>
      </c>
      <c r="D47" s="10" t="s">
        <v>16</v>
      </c>
      <c r="E47" s="10" t="s">
        <v>396</v>
      </c>
      <c r="F47" s="10"/>
      <c r="G47" s="11">
        <v>-531.20000000000005</v>
      </c>
      <c r="H47" s="11">
        <v>4694.6000000000004</v>
      </c>
      <c r="I47" s="7" t="e">
        <f>#REF!+I48</f>
        <v>#REF!</v>
      </c>
      <c r="J47" s="7">
        <f t="shared" ref="J47:M47" si="16">J48</f>
        <v>1407.7</v>
      </c>
      <c r="K47" s="7">
        <f t="shared" si="16"/>
        <v>0</v>
      </c>
      <c r="L47" s="7">
        <f t="shared" si="16"/>
        <v>1407.7</v>
      </c>
      <c r="M47" s="7">
        <f t="shared" si="16"/>
        <v>0</v>
      </c>
      <c r="N47" s="7">
        <v>1407.7</v>
      </c>
      <c r="O47" s="7">
        <v>1407.7</v>
      </c>
      <c r="P47" s="349">
        <v>1407.7</v>
      </c>
      <c r="Q47" s="257">
        <v>100</v>
      </c>
    </row>
    <row r="48" spans="1:17" s="12" customFormat="1">
      <c r="A48" s="8" t="s">
        <v>373</v>
      </c>
      <c r="B48" s="10" t="s">
        <v>501</v>
      </c>
      <c r="C48" s="10" t="s">
        <v>14</v>
      </c>
      <c r="D48" s="10" t="s">
        <v>16</v>
      </c>
      <c r="E48" s="10" t="s">
        <v>396</v>
      </c>
      <c r="F48" s="10" t="s">
        <v>372</v>
      </c>
      <c r="G48" s="11">
        <v>4694.6000000000004</v>
      </c>
      <c r="H48" s="31">
        <v>4694.6000000000004</v>
      </c>
      <c r="I48" s="7">
        <v>-3286.9</v>
      </c>
      <c r="J48" s="7">
        <f>H48+I48</f>
        <v>1407.7</v>
      </c>
      <c r="K48" s="7"/>
      <c r="L48" s="7">
        <f>J48+K48</f>
        <v>1407.7</v>
      </c>
      <c r="M48" s="7"/>
      <c r="N48" s="7">
        <v>1407.7</v>
      </c>
      <c r="O48" s="7">
        <v>1407.7</v>
      </c>
      <c r="P48" s="349">
        <v>1407.7</v>
      </c>
      <c r="Q48" s="257">
        <v>100</v>
      </c>
    </row>
    <row r="49" spans="1:17" s="12" customFormat="1" ht="47.25">
      <c r="A49" s="8" t="s">
        <v>519</v>
      </c>
      <c r="B49" s="10" t="s">
        <v>501</v>
      </c>
      <c r="C49" s="10" t="s">
        <v>14</v>
      </c>
      <c r="D49" s="10" t="s">
        <v>16</v>
      </c>
      <c r="E49" s="10" t="s">
        <v>397</v>
      </c>
      <c r="F49" s="10"/>
      <c r="G49" s="11">
        <v>10112.799999999999</v>
      </c>
      <c r="H49" s="11">
        <v>18587.400000000001</v>
      </c>
      <c r="I49" s="7" t="e">
        <f>#REF!+I50</f>
        <v>#REF!</v>
      </c>
      <c r="J49" s="7">
        <f t="shared" ref="J49:M49" si="17">J50</f>
        <v>4250</v>
      </c>
      <c r="K49" s="7">
        <f t="shared" si="17"/>
        <v>0</v>
      </c>
      <c r="L49" s="7">
        <f t="shared" si="17"/>
        <v>4250</v>
      </c>
      <c r="M49" s="7">
        <f t="shared" si="17"/>
        <v>0</v>
      </c>
      <c r="N49" s="7">
        <v>4250</v>
      </c>
      <c r="O49" s="7">
        <v>4250</v>
      </c>
      <c r="P49" s="349">
        <v>4250</v>
      </c>
      <c r="Q49" s="257">
        <v>100</v>
      </c>
    </row>
    <row r="50" spans="1:17" s="12" customFormat="1">
      <c r="A50" s="8" t="s">
        <v>373</v>
      </c>
      <c r="B50" s="10" t="s">
        <v>501</v>
      </c>
      <c r="C50" s="10" t="s">
        <v>14</v>
      </c>
      <c r="D50" s="10" t="s">
        <v>16</v>
      </c>
      <c r="E50" s="10" t="s">
        <v>397</v>
      </c>
      <c r="F50" s="10" t="s">
        <v>372</v>
      </c>
      <c r="G50" s="11">
        <v>18587.400000000001</v>
      </c>
      <c r="H50" s="31">
        <v>18587.400000000001</v>
      </c>
      <c r="I50" s="7">
        <v>-14337.4</v>
      </c>
      <c r="J50" s="7">
        <f>H50+I50</f>
        <v>4250</v>
      </c>
      <c r="K50" s="7"/>
      <c r="L50" s="7">
        <f>J50+K50</f>
        <v>4250</v>
      </c>
      <c r="M50" s="7"/>
      <c r="N50" s="7">
        <v>4250</v>
      </c>
      <c r="O50" s="7">
        <v>4250</v>
      </c>
      <c r="P50" s="349">
        <v>4250</v>
      </c>
      <c r="Q50" s="257">
        <v>100</v>
      </c>
    </row>
    <row r="51" spans="1:17" s="12" customFormat="1" ht="47.25">
      <c r="A51" s="8" t="s">
        <v>485</v>
      </c>
      <c r="B51" s="10" t="s">
        <v>501</v>
      </c>
      <c r="C51" s="10" t="s">
        <v>14</v>
      </c>
      <c r="D51" s="10" t="s">
        <v>16</v>
      </c>
      <c r="E51" s="10" t="s">
        <v>398</v>
      </c>
      <c r="F51" s="10"/>
      <c r="G51" s="11">
        <v>6224.8</v>
      </c>
      <c r="H51" s="11">
        <v>10094</v>
      </c>
      <c r="I51" s="7" t="e">
        <f>I52+#REF!</f>
        <v>#REF!</v>
      </c>
      <c r="J51" s="7">
        <f t="shared" ref="J51:M51" si="18">J52+J53</f>
        <v>10094</v>
      </c>
      <c r="K51" s="7">
        <f t="shared" si="18"/>
        <v>12906</v>
      </c>
      <c r="L51" s="7">
        <f t="shared" si="18"/>
        <v>23000</v>
      </c>
      <c r="M51" s="7">
        <f t="shared" si="18"/>
        <v>10000</v>
      </c>
      <c r="N51" s="7">
        <v>33000</v>
      </c>
      <c r="O51" s="7">
        <v>33000</v>
      </c>
      <c r="P51" s="349">
        <v>33000</v>
      </c>
      <c r="Q51" s="257">
        <v>100</v>
      </c>
    </row>
    <row r="52" spans="1:17" s="12" customFormat="1" ht="47.25">
      <c r="A52" s="8" t="s">
        <v>360</v>
      </c>
      <c r="B52" s="10" t="s">
        <v>501</v>
      </c>
      <c r="C52" s="10" t="s">
        <v>14</v>
      </c>
      <c r="D52" s="10" t="s">
        <v>16</v>
      </c>
      <c r="E52" s="10" t="s">
        <v>398</v>
      </c>
      <c r="F52" s="10" t="s">
        <v>359</v>
      </c>
      <c r="G52" s="11">
        <v>-3869.2</v>
      </c>
      <c r="H52" s="31">
        <v>0</v>
      </c>
      <c r="I52" s="7">
        <v>10094</v>
      </c>
      <c r="J52" s="7">
        <f>H52+I52</f>
        <v>10094</v>
      </c>
      <c r="K52" s="7">
        <f>-3106.4-2.2-3985.4</f>
        <v>-7094</v>
      </c>
      <c r="L52" s="7">
        <f>J52+K52</f>
        <v>3000</v>
      </c>
      <c r="M52" s="7"/>
      <c r="N52" s="7">
        <v>3000</v>
      </c>
      <c r="O52" s="7">
        <v>3000</v>
      </c>
      <c r="P52" s="349">
        <v>3000</v>
      </c>
      <c r="Q52" s="257">
        <v>100</v>
      </c>
    </row>
    <row r="53" spans="1:17" s="12" customFormat="1">
      <c r="A53" s="8" t="s">
        <v>373</v>
      </c>
      <c r="B53" s="10" t="s">
        <v>501</v>
      </c>
      <c r="C53" s="10" t="s">
        <v>14</v>
      </c>
      <c r="D53" s="10" t="s">
        <v>16</v>
      </c>
      <c r="E53" s="10" t="s">
        <v>398</v>
      </c>
      <c r="F53" s="10" t="s">
        <v>372</v>
      </c>
      <c r="G53" s="11"/>
      <c r="H53" s="31"/>
      <c r="I53" s="7"/>
      <c r="J53" s="7"/>
      <c r="K53" s="7">
        <v>20000</v>
      </c>
      <c r="L53" s="7">
        <f>J53+K53</f>
        <v>20000</v>
      </c>
      <c r="M53" s="7">
        <v>10000</v>
      </c>
      <c r="N53" s="7">
        <v>30000</v>
      </c>
      <c r="O53" s="7">
        <v>30000</v>
      </c>
      <c r="P53" s="349">
        <v>30000</v>
      </c>
      <c r="Q53" s="257">
        <v>100</v>
      </c>
    </row>
    <row r="54" spans="1:17" s="12" customFormat="1" ht="47.25">
      <c r="A54" s="8" t="s">
        <v>482</v>
      </c>
      <c r="B54" s="10" t="s">
        <v>501</v>
      </c>
      <c r="C54" s="10" t="s">
        <v>14</v>
      </c>
      <c r="D54" s="10" t="s">
        <v>16</v>
      </c>
      <c r="E54" s="10" t="s">
        <v>399</v>
      </c>
      <c r="F54" s="10"/>
      <c r="G54" s="11">
        <v>50</v>
      </c>
      <c r="H54" s="11">
        <v>6950</v>
      </c>
      <c r="I54" s="7" t="e">
        <f>I55+#REF!</f>
        <v>#REF!</v>
      </c>
      <c r="J54" s="7">
        <f t="shared" ref="J54:M54" si="19">J55</f>
        <v>9000</v>
      </c>
      <c r="K54" s="7">
        <f t="shared" si="19"/>
        <v>-2250</v>
      </c>
      <c r="L54" s="7">
        <f t="shared" si="19"/>
        <v>6750</v>
      </c>
      <c r="M54" s="7">
        <f t="shared" si="19"/>
        <v>0</v>
      </c>
      <c r="N54" s="7">
        <v>6750</v>
      </c>
      <c r="O54" s="7">
        <v>6750</v>
      </c>
      <c r="P54" s="349">
        <v>6750</v>
      </c>
      <c r="Q54" s="257">
        <v>100</v>
      </c>
    </row>
    <row r="55" spans="1:17" s="12" customFormat="1" ht="47.25">
      <c r="A55" s="8" t="s">
        <v>360</v>
      </c>
      <c r="B55" s="10" t="s">
        <v>501</v>
      </c>
      <c r="C55" s="10" t="s">
        <v>14</v>
      </c>
      <c r="D55" s="10" t="s">
        <v>16</v>
      </c>
      <c r="E55" s="10" t="s">
        <v>399</v>
      </c>
      <c r="F55" s="10" t="s">
        <v>359</v>
      </c>
      <c r="G55" s="11">
        <v>-6900</v>
      </c>
      <c r="H55" s="31">
        <v>0</v>
      </c>
      <c r="I55" s="7">
        <v>9000</v>
      </c>
      <c r="J55" s="7">
        <f>H55+I55</f>
        <v>9000</v>
      </c>
      <c r="K55" s="7">
        <v>-2250</v>
      </c>
      <c r="L55" s="7">
        <f>J55+K55</f>
        <v>6750</v>
      </c>
      <c r="M55" s="7"/>
      <c r="N55" s="7">
        <v>6750</v>
      </c>
      <c r="O55" s="7">
        <v>6750</v>
      </c>
      <c r="P55" s="349">
        <v>6750</v>
      </c>
      <c r="Q55" s="257">
        <v>100</v>
      </c>
    </row>
    <row r="56" spans="1:17" s="12" customFormat="1" ht="47.25">
      <c r="A56" s="9" t="s">
        <v>1005</v>
      </c>
      <c r="B56" s="10" t="s">
        <v>501</v>
      </c>
      <c r="C56" s="10" t="s">
        <v>14</v>
      </c>
      <c r="D56" s="10" t="s">
        <v>16</v>
      </c>
      <c r="E56" s="10" t="s">
        <v>1004</v>
      </c>
      <c r="F56" s="10"/>
      <c r="G56" s="11"/>
      <c r="H56" s="31"/>
      <c r="I56" s="7"/>
      <c r="J56" s="7">
        <f t="shared" ref="J56:M56" si="20">J57+J58</f>
        <v>0</v>
      </c>
      <c r="K56" s="7">
        <f t="shared" si="20"/>
        <v>359.4</v>
      </c>
      <c r="L56" s="7">
        <f t="shared" si="20"/>
        <v>359.4</v>
      </c>
      <c r="M56" s="7">
        <f t="shared" si="20"/>
        <v>0</v>
      </c>
      <c r="N56" s="7">
        <v>359.4</v>
      </c>
      <c r="O56" s="7">
        <v>359.4</v>
      </c>
      <c r="P56" s="349">
        <v>359.4</v>
      </c>
      <c r="Q56" s="257">
        <v>100</v>
      </c>
    </row>
    <row r="57" spans="1:17" s="12" customFormat="1" ht="47.25">
      <c r="A57" s="8" t="s">
        <v>360</v>
      </c>
      <c r="B57" s="10" t="s">
        <v>501</v>
      </c>
      <c r="C57" s="10" t="s">
        <v>14</v>
      </c>
      <c r="D57" s="10" t="s">
        <v>16</v>
      </c>
      <c r="E57" s="10" t="s">
        <v>1004</v>
      </c>
      <c r="F57" s="10" t="s">
        <v>359</v>
      </c>
      <c r="G57" s="11"/>
      <c r="H57" s="31"/>
      <c r="I57" s="7"/>
      <c r="J57" s="7"/>
      <c r="K57" s="7">
        <f>35-35</f>
        <v>0</v>
      </c>
      <c r="L57" s="7">
        <f>J57+K57</f>
        <v>0</v>
      </c>
      <c r="M57" s="7">
        <v>35</v>
      </c>
      <c r="N57" s="7">
        <v>35</v>
      </c>
      <c r="O57" s="7">
        <v>35</v>
      </c>
      <c r="P57" s="349">
        <v>35</v>
      </c>
      <c r="Q57" s="257">
        <v>100</v>
      </c>
    </row>
    <row r="58" spans="1:17" s="12" customFormat="1">
      <c r="A58" s="8" t="s">
        <v>373</v>
      </c>
      <c r="B58" s="10" t="s">
        <v>501</v>
      </c>
      <c r="C58" s="10" t="s">
        <v>14</v>
      </c>
      <c r="D58" s="10" t="s">
        <v>16</v>
      </c>
      <c r="E58" s="10" t="s">
        <v>1004</v>
      </c>
      <c r="F58" s="10" t="s">
        <v>372</v>
      </c>
      <c r="G58" s="11"/>
      <c r="H58" s="31"/>
      <c r="I58" s="7"/>
      <c r="J58" s="7"/>
      <c r="K58" s="7">
        <f>324.4+35</f>
        <v>359.4</v>
      </c>
      <c r="L58" s="7">
        <f>J58+K58</f>
        <v>359.4</v>
      </c>
      <c r="M58" s="7">
        <v>-35</v>
      </c>
      <c r="N58" s="7">
        <v>324.39999999999998</v>
      </c>
      <c r="O58" s="7">
        <v>324.39999999999998</v>
      </c>
      <c r="P58" s="349">
        <v>324.39999999999998</v>
      </c>
      <c r="Q58" s="257">
        <v>100</v>
      </c>
    </row>
    <row r="59" spans="1:17" s="12" customFormat="1" ht="47.25">
      <c r="A59" s="8" t="s">
        <v>483</v>
      </c>
      <c r="B59" s="10" t="s">
        <v>501</v>
      </c>
      <c r="C59" s="10" t="s">
        <v>14</v>
      </c>
      <c r="D59" s="10" t="s">
        <v>16</v>
      </c>
      <c r="E59" s="10" t="s">
        <v>400</v>
      </c>
      <c r="F59" s="10"/>
      <c r="G59" s="11">
        <v>1252</v>
      </c>
      <c r="H59" s="11">
        <v>5552</v>
      </c>
      <c r="I59" s="7" t="e">
        <f>I60+#REF!</f>
        <v>#REF!</v>
      </c>
      <c r="J59" s="7">
        <f t="shared" ref="J59:M59" si="21">J60</f>
        <v>6015.6</v>
      </c>
      <c r="K59" s="7">
        <f t="shared" si="21"/>
        <v>-503.9</v>
      </c>
      <c r="L59" s="7">
        <f t="shared" si="21"/>
        <v>5511.7</v>
      </c>
      <c r="M59" s="7">
        <f t="shared" si="21"/>
        <v>-400</v>
      </c>
      <c r="N59" s="7">
        <v>5111.7</v>
      </c>
      <c r="O59" s="7">
        <v>5111.7</v>
      </c>
      <c r="P59" s="349">
        <v>5111.7</v>
      </c>
      <c r="Q59" s="257">
        <v>100</v>
      </c>
    </row>
    <row r="60" spans="1:17" s="12" customFormat="1" ht="47.25">
      <c r="A60" s="8" t="s">
        <v>360</v>
      </c>
      <c r="B60" s="10" t="s">
        <v>501</v>
      </c>
      <c r="C60" s="10" t="s">
        <v>14</v>
      </c>
      <c r="D60" s="10" t="s">
        <v>16</v>
      </c>
      <c r="E60" s="10" t="s">
        <v>400</v>
      </c>
      <c r="F60" s="10" t="s">
        <v>359</v>
      </c>
      <c r="G60" s="11">
        <v>-4300</v>
      </c>
      <c r="H60" s="31">
        <v>0</v>
      </c>
      <c r="I60" s="7">
        <v>6015.6</v>
      </c>
      <c r="J60" s="7">
        <f>H60+I60</f>
        <v>6015.6</v>
      </c>
      <c r="K60" s="7">
        <v>-503.9</v>
      </c>
      <c r="L60" s="7">
        <f>J60+K60</f>
        <v>5511.7</v>
      </c>
      <c r="M60" s="7">
        <v>-400</v>
      </c>
      <c r="N60" s="7">
        <v>5111.7</v>
      </c>
      <c r="O60" s="7">
        <v>5111.7</v>
      </c>
      <c r="P60" s="349">
        <v>5111.7</v>
      </c>
      <c r="Q60" s="257">
        <v>100</v>
      </c>
    </row>
    <row r="61" spans="1:17" s="12" customFormat="1" ht="47.25">
      <c r="A61" s="8" t="s">
        <v>484</v>
      </c>
      <c r="B61" s="10" t="s">
        <v>501</v>
      </c>
      <c r="C61" s="10" t="s">
        <v>14</v>
      </c>
      <c r="D61" s="10" t="s">
        <v>16</v>
      </c>
      <c r="E61" s="10" t="s">
        <v>401</v>
      </c>
      <c r="F61" s="10"/>
      <c r="G61" s="11">
        <v>-14300.5</v>
      </c>
      <c r="H61" s="11">
        <v>2439</v>
      </c>
      <c r="I61" s="7" t="e">
        <f>I62+#REF!</f>
        <v>#REF!</v>
      </c>
      <c r="J61" s="7">
        <f t="shared" ref="J61:M61" si="22">J62</f>
        <v>2499.6</v>
      </c>
      <c r="K61" s="7">
        <f t="shared" si="22"/>
        <v>-649.9</v>
      </c>
      <c r="L61" s="7">
        <f t="shared" si="22"/>
        <v>1849.7</v>
      </c>
      <c r="M61" s="7">
        <f t="shared" si="22"/>
        <v>0</v>
      </c>
      <c r="N61" s="7">
        <v>1849.7</v>
      </c>
      <c r="O61" s="7">
        <v>1849.7</v>
      </c>
      <c r="P61" s="349">
        <v>1849.7</v>
      </c>
      <c r="Q61" s="257">
        <v>100</v>
      </c>
    </row>
    <row r="62" spans="1:17" s="12" customFormat="1" ht="47.25">
      <c r="A62" s="8" t="s">
        <v>360</v>
      </c>
      <c r="B62" s="10" t="s">
        <v>501</v>
      </c>
      <c r="C62" s="10" t="s">
        <v>14</v>
      </c>
      <c r="D62" s="10" t="s">
        <v>16</v>
      </c>
      <c r="E62" s="10" t="s">
        <v>401</v>
      </c>
      <c r="F62" s="10" t="s">
        <v>359</v>
      </c>
      <c r="G62" s="11">
        <v>-16739.5</v>
      </c>
      <c r="H62" s="31">
        <v>0</v>
      </c>
      <c r="I62" s="7">
        <v>2499.6</v>
      </c>
      <c r="J62" s="7">
        <f>H62+I62</f>
        <v>2499.6</v>
      </c>
      <c r="K62" s="7">
        <v>-649.9</v>
      </c>
      <c r="L62" s="7">
        <f>J62+K62</f>
        <v>1849.7</v>
      </c>
      <c r="M62" s="7"/>
      <c r="N62" s="7">
        <v>1849.7</v>
      </c>
      <c r="O62" s="7">
        <v>1849.7</v>
      </c>
      <c r="P62" s="349">
        <v>1849.7</v>
      </c>
      <c r="Q62" s="257">
        <v>100</v>
      </c>
    </row>
    <row r="63" spans="1:17" s="12" customFormat="1" ht="47.25">
      <c r="A63" s="8" t="s">
        <v>975</v>
      </c>
      <c r="B63" s="10" t="s">
        <v>501</v>
      </c>
      <c r="C63" s="10" t="s">
        <v>14</v>
      </c>
      <c r="D63" s="10" t="s">
        <v>16</v>
      </c>
      <c r="E63" s="10" t="s">
        <v>974</v>
      </c>
      <c r="F63" s="10"/>
      <c r="G63" s="11"/>
      <c r="H63" s="31"/>
      <c r="I63" s="7"/>
      <c r="J63" s="7">
        <f t="shared" ref="J63:M63" si="23">J64</f>
        <v>0</v>
      </c>
      <c r="K63" s="7">
        <f t="shared" si="23"/>
        <v>500</v>
      </c>
      <c r="L63" s="7">
        <f t="shared" si="23"/>
        <v>500</v>
      </c>
      <c r="M63" s="7">
        <f t="shared" si="23"/>
        <v>0</v>
      </c>
      <c r="N63" s="7">
        <v>500</v>
      </c>
      <c r="O63" s="7">
        <v>500</v>
      </c>
      <c r="P63" s="349">
        <v>500</v>
      </c>
      <c r="Q63" s="257">
        <v>100</v>
      </c>
    </row>
    <row r="64" spans="1:17" s="12" customFormat="1">
      <c r="A64" s="8" t="s">
        <v>373</v>
      </c>
      <c r="B64" s="10" t="s">
        <v>501</v>
      </c>
      <c r="C64" s="10" t="s">
        <v>14</v>
      </c>
      <c r="D64" s="10" t="s">
        <v>16</v>
      </c>
      <c r="E64" s="10" t="s">
        <v>974</v>
      </c>
      <c r="F64" s="10" t="s">
        <v>372</v>
      </c>
      <c r="G64" s="11"/>
      <c r="H64" s="31"/>
      <c r="I64" s="7"/>
      <c r="J64" s="7"/>
      <c r="K64" s="7">
        <v>500</v>
      </c>
      <c r="L64" s="7">
        <f>J64+K64</f>
        <v>500</v>
      </c>
      <c r="M64" s="7"/>
      <c r="N64" s="7">
        <v>500</v>
      </c>
      <c r="O64" s="7">
        <v>500</v>
      </c>
      <c r="P64" s="349">
        <v>500</v>
      </c>
      <c r="Q64" s="257">
        <v>100</v>
      </c>
    </row>
    <row r="65" spans="1:17" s="12" customFormat="1" ht="31.5">
      <c r="A65" s="8" t="s">
        <v>402</v>
      </c>
      <c r="B65" s="10" t="s">
        <v>501</v>
      </c>
      <c r="C65" s="10" t="s">
        <v>14</v>
      </c>
      <c r="D65" s="10" t="s">
        <v>16</v>
      </c>
      <c r="E65" s="10" t="s">
        <v>403</v>
      </c>
      <c r="F65" s="10"/>
      <c r="G65" s="11">
        <v>8913</v>
      </c>
      <c r="H65" s="11">
        <v>14500</v>
      </c>
      <c r="I65" s="7">
        <f t="shared" ref="I65:M65" si="24">I66</f>
        <v>0</v>
      </c>
      <c r="J65" s="7">
        <f t="shared" si="24"/>
        <v>14500</v>
      </c>
      <c r="K65" s="7">
        <f t="shared" si="24"/>
        <v>0</v>
      </c>
      <c r="L65" s="7">
        <f t="shared" si="24"/>
        <v>14500</v>
      </c>
      <c r="M65" s="7">
        <f t="shared" si="24"/>
        <v>0</v>
      </c>
      <c r="N65" s="7">
        <v>14500</v>
      </c>
      <c r="O65" s="7">
        <v>14500</v>
      </c>
      <c r="P65" s="349">
        <v>14500</v>
      </c>
      <c r="Q65" s="257">
        <v>100</v>
      </c>
    </row>
    <row r="66" spans="1:17" s="12" customFormat="1">
      <c r="A66" s="8" t="s">
        <v>362</v>
      </c>
      <c r="B66" s="10" t="s">
        <v>501</v>
      </c>
      <c r="C66" s="10" t="s">
        <v>14</v>
      </c>
      <c r="D66" s="10" t="s">
        <v>16</v>
      </c>
      <c r="E66" s="10" t="s">
        <v>403</v>
      </c>
      <c r="F66" s="10" t="s">
        <v>334</v>
      </c>
      <c r="G66" s="11">
        <v>8913</v>
      </c>
      <c r="H66" s="31">
        <v>14500</v>
      </c>
      <c r="I66" s="7"/>
      <c r="J66" s="7">
        <f>H66+I66</f>
        <v>14500</v>
      </c>
      <c r="K66" s="7"/>
      <c r="L66" s="7">
        <f>J66+K66</f>
        <v>14500</v>
      </c>
      <c r="M66" s="7"/>
      <c r="N66" s="7">
        <v>14500</v>
      </c>
      <c r="O66" s="7">
        <v>14500</v>
      </c>
      <c r="P66" s="349">
        <v>14500</v>
      </c>
      <c r="Q66" s="257">
        <v>100</v>
      </c>
    </row>
    <row r="67" spans="1:17" s="12" customFormat="1">
      <c r="A67" s="8" t="s">
        <v>404</v>
      </c>
      <c r="B67" s="10" t="s">
        <v>501</v>
      </c>
      <c r="C67" s="10" t="s">
        <v>14</v>
      </c>
      <c r="D67" s="10" t="s">
        <v>16</v>
      </c>
      <c r="E67" s="10" t="s">
        <v>405</v>
      </c>
      <c r="F67" s="10"/>
      <c r="G67" s="11">
        <v>-2000</v>
      </c>
      <c r="H67" s="11">
        <v>4000</v>
      </c>
      <c r="I67" s="7">
        <f t="shared" ref="I67:M67" si="25">I68</f>
        <v>0</v>
      </c>
      <c r="J67" s="7">
        <f t="shared" si="25"/>
        <v>4000</v>
      </c>
      <c r="K67" s="7">
        <f t="shared" si="25"/>
        <v>-800</v>
      </c>
      <c r="L67" s="7">
        <f t="shared" si="25"/>
        <v>3200</v>
      </c>
      <c r="M67" s="7">
        <f t="shared" si="25"/>
        <v>-400</v>
      </c>
      <c r="N67" s="7">
        <v>2800</v>
      </c>
      <c r="O67" s="7">
        <v>2800</v>
      </c>
      <c r="P67" s="349">
        <v>2800</v>
      </c>
      <c r="Q67" s="257">
        <v>100</v>
      </c>
    </row>
    <row r="68" spans="1:17" s="12" customFormat="1">
      <c r="A68" s="8" t="s">
        <v>362</v>
      </c>
      <c r="B68" s="10" t="s">
        <v>501</v>
      </c>
      <c r="C68" s="10" t="s">
        <v>14</v>
      </c>
      <c r="D68" s="10" t="s">
        <v>16</v>
      </c>
      <c r="E68" s="10" t="s">
        <v>405</v>
      </c>
      <c r="F68" s="10" t="s">
        <v>334</v>
      </c>
      <c r="G68" s="11">
        <v>-2000</v>
      </c>
      <c r="H68" s="31">
        <v>4000</v>
      </c>
      <c r="I68" s="7"/>
      <c r="J68" s="7">
        <f>H68+I68</f>
        <v>4000</v>
      </c>
      <c r="K68" s="7">
        <f>-500-300</f>
        <v>-800</v>
      </c>
      <c r="L68" s="7">
        <f>J68+K68</f>
        <v>3200</v>
      </c>
      <c r="M68" s="7">
        <v>-400</v>
      </c>
      <c r="N68" s="7">
        <v>2800</v>
      </c>
      <c r="O68" s="7">
        <v>2800</v>
      </c>
      <c r="P68" s="349">
        <v>2800</v>
      </c>
      <c r="Q68" s="257">
        <v>100</v>
      </c>
    </row>
    <row r="69" spans="1:17" s="12" customFormat="1" ht="47.25">
      <c r="A69" s="8" t="s">
        <v>481</v>
      </c>
      <c r="B69" s="10" t="s">
        <v>501</v>
      </c>
      <c r="C69" s="10" t="s">
        <v>14</v>
      </c>
      <c r="D69" s="10" t="s">
        <v>16</v>
      </c>
      <c r="E69" s="34" t="s">
        <v>406</v>
      </c>
      <c r="F69" s="10"/>
      <c r="G69" s="11">
        <v>0</v>
      </c>
      <c r="H69" s="11">
        <v>3700</v>
      </c>
      <c r="I69" s="7">
        <f t="shared" ref="I69:M69" si="26">I70</f>
        <v>0</v>
      </c>
      <c r="J69" s="7">
        <f t="shared" si="26"/>
        <v>3700</v>
      </c>
      <c r="K69" s="7">
        <f t="shared" si="26"/>
        <v>-2500</v>
      </c>
      <c r="L69" s="7">
        <f t="shared" si="26"/>
        <v>1200</v>
      </c>
      <c r="M69" s="7">
        <f t="shared" si="26"/>
        <v>-100</v>
      </c>
      <c r="N69" s="7">
        <v>1100</v>
      </c>
      <c r="O69" s="7">
        <v>1100</v>
      </c>
      <c r="P69" s="349">
        <v>1100</v>
      </c>
      <c r="Q69" s="257">
        <v>100</v>
      </c>
    </row>
    <row r="70" spans="1:17" s="12" customFormat="1">
      <c r="A70" s="8" t="s">
        <v>362</v>
      </c>
      <c r="B70" s="10" t="s">
        <v>501</v>
      </c>
      <c r="C70" s="10" t="s">
        <v>14</v>
      </c>
      <c r="D70" s="10" t="s">
        <v>16</v>
      </c>
      <c r="E70" s="34" t="s">
        <v>406</v>
      </c>
      <c r="F70" s="10" t="s">
        <v>334</v>
      </c>
      <c r="G70" s="11">
        <v>0</v>
      </c>
      <c r="H70" s="31">
        <v>3700</v>
      </c>
      <c r="I70" s="7"/>
      <c r="J70" s="7">
        <f>H70+I70</f>
        <v>3700</v>
      </c>
      <c r="K70" s="7">
        <f>-2412-88</f>
        <v>-2500</v>
      </c>
      <c r="L70" s="7">
        <f>J70+K70</f>
        <v>1200</v>
      </c>
      <c r="M70" s="7">
        <v>-100</v>
      </c>
      <c r="N70" s="7">
        <v>1100</v>
      </c>
      <c r="O70" s="7">
        <v>1100</v>
      </c>
      <c r="P70" s="349">
        <v>1100</v>
      </c>
      <c r="Q70" s="257">
        <v>100</v>
      </c>
    </row>
    <row r="71" spans="1:17" s="12" customFormat="1" ht="47.25">
      <c r="A71" s="9" t="s">
        <v>876</v>
      </c>
      <c r="B71" s="10" t="s">
        <v>501</v>
      </c>
      <c r="C71" s="10" t="s">
        <v>14</v>
      </c>
      <c r="D71" s="10" t="s">
        <v>16</v>
      </c>
      <c r="E71" s="34" t="s">
        <v>625</v>
      </c>
      <c r="F71" s="10"/>
      <c r="G71" s="11"/>
      <c r="H71" s="31">
        <f t="shared" ref="H71:M71" si="27">H72</f>
        <v>0</v>
      </c>
      <c r="I71" s="7">
        <f t="shared" si="27"/>
        <v>18215.7</v>
      </c>
      <c r="J71" s="7">
        <f t="shared" si="27"/>
        <v>18215.7</v>
      </c>
      <c r="K71" s="7">
        <f t="shared" si="27"/>
        <v>-8200.4</v>
      </c>
      <c r="L71" s="7">
        <f t="shared" si="27"/>
        <v>10015.299999999999</v>
      </c>
      <c r="M71" s="7">
        <f t="shared" si="27"/>
        <v>0</v>
      </c>
      <c r="N71" s="7">
        <v>10015.299999999999</v>
      </c>
      <c r="O71" s="7">
        <v>10015.299999999999</v>
      </c>
      <c r="P71" s="349">
        <v>10015.299999999999</v>
      </c>
      <c r="Q71" s="257">
        <v>100</v>
      </c>
    </row>
    <row r="72" spans="1:17" s="12" customFormat="1">
      <c r="A72" s="8" t="s">
        <v>373</v>
      </c>
      <c r="B72" s="10" t="s">
        <v>501</v>
      </c>
      <c r="C72" s="10" t="s">
        <v>14</v>
      </c>
      <c r="D72" s="10" t="s">
        <v>16</v>
      </c>
      <c r="E72" s="34" t="s">
        <v>625</v>
      </c>
      <c r="F72" s="10" t="s">
        <v>372</v>
      </c>
      <c r="G72" s="11"/>
      <c r="H72" s="31"/>
      <c r="I72" s="7">
        <f>28081.7-9866</f>
        <v>18215.7</v>
      </c>
      <c r="J72" s="7">
        <f>H72+I72</f>
        <v>18215.7</v>
      </c>
      <c r="K72" s="7">
        <v>-8200.4</v>
      </c>
      <c r="L72" s="7">
        <f>J72+K72</f>
        <v>10015.299999999999</v>
      </c>
      <c r="M72" s="7"/>
      <c r="N72" s="7">
        <v>10015.299999999999</v>
      </c>
      <c r="O72" s="7">
        <v>10015.299999999999</v>
      </c>
      <c r="P72" s="349">
        <v>10015.299999999999</v>
      </c>
      <c r="Q72" s="257">
        <v>100</v>
      </c>
    </row>
    <row r="73" spans="1:17" s="12" customFormat="1" ht="47.25">
      <c r="A73" s="8" t="s">
        <v>832</v>
      </c>
      <c r="B73" s="10" t="s">
        <v>501</v>
      </c>
      <c r="C73" s="10" t="s">
        <v>14</v>
      </c>
      <c r="D73" s="10" t="s">
        <v>16</v>
      </c>
      <c r="E73" s="34" t="s">
        <v>654</v>
      </c>
      <c r="F73" s="10"/>
      <c r="G73" s="11"/>
      <c r="H73" s="31">
        <f t="shared" ref="H73:M73" si="28">H74</f>
        <v>0</v>
      </c>
      <c r="I73" s="31">
        <f t="shared" si="28"/>
        <v>1811.5</v>
      </c>
      <c r="J73" s="31">
        <f t="shared" si="28"/>
        <v>1811.5</v>
      </c>
      <c r="K73" s="31">
        <f t="shared" si="28"/>
        <v>0</v>
      </c>
      <c r="L73" s="31">
        <f t="shared" si="28"/>
        <v>1811.5</v>
      </c>
      <c r="M73" s="31">
        <f t="shared" si="28"/>
        <v>0</v>
      </c>
      <c r="N73" s="31">
        <v>1811.5</v>
      </c>
      <c r="O73" s="36">
        <v>1811.6</v>
      </c>
      <c r="P73" s="350">
        <v>1811.6</v>
      </c>
      <c r="Q73" s="257">
        <v>100</v>
      </c>
    </row>
    <row r="74" spans="1:17" s="12" customFormat="1">
      <c r="A74" s="8" t="s">
        <v>373</v>
      </c>
      <c r="B74" s="10" t="s">
        <v>501</v>
      </c>
      <c r="C74" s="10" t="s">
        <v>14</v>
      </c>
      <c r="D74" s="10" t="s">
        <v>16</v>
      </c>
      <c r="E74" s="34" t="s">
        <v>654</v>
      </c>
      <c r="F74" s="10" t="s">
        <v>372</v>
      </c>
      <c r="G74" s="11"/>
      <c r="H74" s="31"/>
      <c r="I74" s="7">
        <f>1811.6-0.1</f>
        <v>1811.5</v>
      </c>
      <c r="J74" s="7">
        <f>H74+I74</f>
        <v>1811.5</v>
      </c>
      <c r="K74" s="7"/>
      <c r="L74" s="7">
        <f>J74+K74</f>
        <v>1811.5</v>
      </c>
      <c r="M74" s="7"/>
      <c r="N74" s="7">
        <v>1811.5</v>
      </c>
      <c r="O74" s="7">
        <v>1811.6</v>
      </c>
      <c r="P74" s="349">
        <v>1811.6</v>
      </c>
      <c r="Q74" s="257">
        <v>100</v>
      </c>
    </row>
    <row r="75" spans="1:17" s="12" customFormat="1">
      <c r="A75" s="8" t="s">
        <v>1009</v>
      </c>
      <c r="B75" s="10" t="s">
        <v>501</v>
      </c>
      <c r="C75" s="10" t="s">
        <v>14</v>
      </c>
      <c r="D75" s="10" t="s">
        <v>16</v>
      </c>
      <c r="E75" s="34" t="s">
        <v>66</v>
      </c>
      <c r="F75" s="10"/>
      <c r="G75" s="11"/>
      <c r="H75" s="31">
        <f t="shared" ref="H75:M75" si="29">H76</f>
        <v>0</v>
      </c>
      <c r="I75" s="7">
        <f t="shared" si="29"/>
        <v>126.7</v>
      </c>
      <c r="J75" s="7">
        <f t="shared" si="29"/>
        <v>126.7</v>
      </c>
      <c r="K75" s="7">
        <f t="shared" si="29"/>
        <v>0</v>
      </c>
      <c r="L75" s="7">
        <f t="shared" si="29"/>
        <v>126.7</v>
      </c>
      <c r="M75" s="7">
        <f t="shared" si="29"/>
        <v>0</v>
      </c>
      <c r="N75" s="7">
        <v>126.7</v>
      </c>
      <c r="O75" s="7">
        <v>126.8</v>
      </c>
      <c r="P75" s="349">
        <v>126.8</v>
      </c>
      <c r="Q75" s="257">
        <v>100</v>
      </c>
    </row>
    <row r="76" spans="1:17" s="12" customFormat="1">
      <c r="A76" s="8" t="s">
        <v>373</v>
      </c>
      <c r="B76" s="10" t="s">
        <v>501</v>
      </c>
      <c r="C76" s="10" t="s">
        <v>14</v>
      </c>
      <c r="D76" s="10" t="s">
        <v>16</v>
      </c>
      <c r="E76" s="34" t="s">
        <v>66</v>
      </c>
      <c r="F76" s="10" t="s">
        <v>372</v>
      </c>
      <c r="G76" s="11"/>
      <c r="H76" s="31"/>
      <c r="I76" s="7">
        <f>126.7</f>
        <v>126.7</v>
      </c>
      <c r="J76" s="7">
        <f>H76+I76</f>
        <v>126.7</v>
      </c>
      <c r="K76" s="7"/>
      <c r="L76" s="7">
        <f>J76+K76</f>
        <v>126.7</v>
      </c>
      <c r="M76" s="7"/>
      <c r="N76" s="7">
        <v>126.7</v>
      </c>
      <c r="O76" s="7">
        <v>126.8</v>
      </c>
      <c r="P76" s="349">
        <v>126.8</v>
      </c>
      <c r="Q76" s="257">
        <v>100</v>
      </c>
    </row>
    <row r="77" spans="1:17" s="12" customFormat="1" ht="31.5">
      <c r="A77" s="8" t="s">
        <v>21</v>
      </c>
      <c r="B77" s="10" t="s">
        <v>501</v>
      </c>
      <c r="C77" s="10" t="s">
        <v>14</v>
      </c>
      <c r="D77" s="10" t="s">
        <v>16</v>
      </c>
      <c r="E77" s="34" t="s">
        <v>22</v>
      </c>
      <c r="F77" s="10"/>
      <c r="G77" s="11">
        <v>0</v>
      </c>
      <c r="H77" s="11">
        <v>60918.8</v>
      </c>
      <c r="I77" s="7">
        <f t="shared" ref="I77:M77" si="30">I78+I80</f>
        <v>0</v>
      </c>
      <c r="J77" s="7">
        <f t="shared" si="30"/>
        <v>60918.8</v>
      </c>
      <c r="K77" s="7">
        <f t="shared" si="30"/>
        <v>4328.8999999999996</v>
      </c>
      <c r="L77" s="7">
        <f t="shared" si="30"/>
        <v>65247.7</v>
      </c>
      <c r="M77" s="7">
        <f t="shared" si="30"/>
        <v>0</v>
      </c>
      <c r="N77" s="7">
        <v>65247.7</v>
      </c>
      <c r="O77" s="7">
        <v>65247.7</v>
      </c>
      <c r="P77" s="349">
        <v>65247.7</v>
      </c>
      <c r="Q77" s="257">
        <v>100</v>
      </c>
    </row>
    <row r="78" spans="1:17" s="12" customFormat="1" ht="31.5">
      <c r="A78" s="8" t="s">
        <v>520</v>
      </c>
      <c r="B78" s="10" t="s">
        <v>501</v>
      </c>
      <c r="C78" s="10" t="s">
        <v>14</v>
      </c>
      <c r="D78" s="10" t="s">
        <v>16</v>
      </c>
      <c r="E78" s="34" t="s">
        <v>23</v>
      </c>
      <c r="F78" s="10"/>
      <c r="G78" s="11">
        <v>0</v>
      </c>
      <c r="H78" s="11">
        <v>30201.200000000001</v>
      </c>
      <c r="I78" s="7">
        <f t="shared" ref="I78:M78" si="31">I79</f>
        <v>0</v>
      </c>
      <c r="J78" s="7">
        <f t="shared" si="31"/>
        <v>30201.200000000001</v>
      </c>
      <c r="K78" s="7">
        <f t="shared" si="31"/>
        <v>2161.5</v>
      </c>
      <c r="L78" s="7">
        <f t="shared" si="31"/>
        <v>32362.7</v>
      </c>
      <c r="M78" s="7">
        <f t="shared" si="31"/>
        <v>0</v>
      </c>
      <c r="N78" s="7">
        <v>32362.7</v>
      </c>
      <c r="O78" s="7">
        <v>32362.7</v>
      </c>
      <c r="P78" s="349">
        <v>32362.7</v>
      </c>
      <c r="Q78" s="257">
        <v>100</v>
      </c>
    </row>
    <row r="79" spans="1:17" s="12" customFormat="1" ht="47.25">
      <c r="A79" s="8" t="s">
        <v>360</v>
      </c>
      <c r="B79" s="10" t="s">
        <v>501</v>
      </c>
      <c r="C79" s="10" t="s">
        <v>14</v>
      </c>
      <c r="D79" s="10" t="s">
        <v>16</v>
      </c>
      <c r="E79" s="34" t="s">
        <v>23</v>
      </c>
      <c r="F79" s="10" t="s">
        <v>359</v>
      </c>
      <c r="G79" s="11">
        <v>0</v>
      </c>
      <c r="H79" s="31">
        <v>30201.200000000001</v>
      </c>
      <c r="I79" s="7"/>
      <c r="J79" s="7">
        <f>H79+I79</f>
        <v>30201.200000000001</v>
      </c>
      <c r="K79" s="7">
        <f>2861.5-700</f>
        <v>2161.5</v>
      </c>
      <c r="L79" s="7">
        <f>J79+K79</f>
        <v>32362.7</v>
      </c>
      <c r="M79" s="7"/>
      <c r="N79" s="7">
        <v>32362.7</v>
      </c>
      <c r="O79" s="7">
        <v>32362.7</v>
      </c>
      <c r="P79" s="349">
        <v>32362.7</v>
      </c>
      <c r="Q79" s="257">
        <v>100</v>
      </c>
    </row>
    <row r="80" spans="1:17" s="12" customFormat="1" ht="31.5">
      <c r="A80" s="8" t="s">
        <v>521</v>
      </c>
      <c r="B80" s="10" t="s">
        <v>501</v>
      </c>
      <c r="C80" s="10" t="s">
        <v>14</v>
      </c>
      <c r="D80" s="10" t="s">
        <v>16</v>
      </c>
      <c r="E80" s="34" t="s">
        <v>24</v>
      </c>
      <c r="F80" s="10"/>
      <c r="G80" s="11">
        <v>0</v>
      </c>
      <c r="H80" s="11">
        <v>30717.599999999999</v>
      </c>
      <c r="I80" s="7">
        <f t="shared" ref="I80:M80" si="32">I81</f>
        <v>0</v>
      </c>
      <c r="J80" s="7">
        <f t="shared" si="32"/>
        <v>30717.599999999999</v>
      </c>
      <c r="K80" s="7">
        <f t="shared" si="32"/>
        <v>2167.4</v>
      </c>
      <c r="L80" s="7">
        <f t="shared" si="32"/>
        <v>32885</v>
      </c>
      <c r="M80" s="7">
        <f t="shared" si="32"/>
        <v>0</v>
      </c>
      <c r="N80" s="7">
        <v>32885</v>
      </c>
      <c r="O80" s="7">
        <v>32885</v>
      </c>
      <c r="P80" s="349">
        <v>32885</v>
      </c>
      <c r="Q80" s="257">
        <v>100</v>
      </c>
    </row>
    <row r="81" spans="1:17" s="12" customFormat="1" ht="47.25">
      <c r="A81" s="8" t="s">
        <v>360</v>
      </c>
      <c r="B81" s="10" t="s">
        <v>501</v>
      </c>
      <c r="C81" s="10" t="s">
        <v>14</v>
      </c>
      <c r="D81" s="10" t="s">
        <v>16</v>
      </c>
      <c r="E81" s="34" t="s">
        <v>24</v>
      </c>
      <c r="F81" s="10" t="s">
        <v>359</v>
      </c>
      <c r="G81" s="11">
        <v>0</v>
      </c>
      <c r="H81" s="31">
        <v>30717.599999999999</v>
      </c>
      <c r="I81" s="7"/>
      <c r="J81" s="7">
        <f>H81+I81</f>
        <v>30717.599999999999</v>
      </c>
      <c r="K81" s="7">
        <f>2867.4-700</f>
        <v>2167.4</v>
      </c>
      <c r="L81" s="7">
        <f>J81+K81</f>
        <v>32885</v>
      </c>
      <c r="M81" s="7"/>
      <c r="N81" s="7">
        <v>32885</v>
      </c>
      <c r="O81" s="7">
        <v>32885</v>
      </c>
      <c r="P81" s="349">
        <v>32885</v>
      </c>
      <c r="Q81" s="257">
        <v>100</v>
      </c>
    </row>
    <row r="82" spans="1:17" s="12" customFormat="1">
      <c r="A82" s="8" t="s">
        <v>456</v>
      </c>
      <c r="B82" s="10" t="s">
        <v>501</v>
      </c>
      <c r="C82" s="10" t="s">
        <v>14</v>
      </c>
      <c r="D82" s="10" t="s">
        <v>16</v>
      </c>
      <c r="E82" s="34" t="s">
        <v>364</v>
      </c>
      <c r="F82" s="10"/>
      <c r="G82" s="11"/>
      <c r="H82" s="31">
        <f>H88</f>
        <v>0</v>
      </c>
      <c r="I82" s="31">
        <f t="shared" ref="I82:M82" si="33">I83</f>
        <v>1992</v>
      </c>
      <c r="J82" s="31">
        <f t="shared" si="33"/>
        <v>1992</v>
      </c>
      <c r="K82" s="31">
        <f t="shared" si="33"/>
        <v>0</v>
      </c>
      <c r="L82" s="31">
        <f t="shared" si="33"/>
        <v>1992</v>
      </c>
      <c r="M82" s="31">
        <f t="shared" si="33"/>
        <v>0</v>
      </c>
      <c r="N82" s="31">
        <v>1992</v>
      </c>
      <c r="O82" s="36">
        <v>1992</v>
      </c>
      <c r="P82" s="350">
        <v>1992</v>
      </c>
      <c r="Q82" s="257">
        <v>100</v>
      </c>
    </row>
    <row r="83" spans="1:17" s="12" customFormat="1" ht="47.25">
      <c r="A83" s="8" t="s">
        <v>891</v>
      </c>
      <c r="B83" s="10" t="s">
        <v>501</v>
      </c>
      <c r="C83" s="10" t="s">
        <v>14</v>
      </c>
      <c r="D83" s="10" t="s">
        <v>16</v>
      </c>
      <c r="E83" s="34" t="s">
        <v>739</v>
      </c>
      <c r="F83" s="10"/>
      <c r="G83" s="11"/>
      <c r="H83" s="31">
        <f t="shared" ref="H83:M83" si="34">H84+H86+H88</f>
        <v>0</v>
      </c>
      <c r="I83" s="31">
        <f t="shared" si="34"/>
        <v>1992</v>
      </c>
      <c r="J83" s="31">
        <f t="shared" si="34"/>
        <v>1992</v>
      </c>
      <c r="K83" s="31">
        <f t="shared" si="34"/>
        <v>0</v>
      </c>
      <c r="L83" s="31">
        <f t="shared" si="34"/>
        <v>1992</v>
      </c>
      <c r="M83" s="31">
        <f t="shared" si="34"/>
        <v>0</v>
      </c>
      <c r="N83" s="31">
        <v>1992</v>
      </c>
      <c r="O83" s="36">
        <v>1992</v>
      </c>
      <c r="P83" s="350">
        <v>1992</v>
      </c>
      <c r="Q83" s="257">
        <v>100</v>
      </c>
    </row>
    <row r="84" spans="1:17" s="12" customFormat="1" ht="47.25">
      <c r="A84" s="8" t="s">
        <v>893</v>
      </c>
      <c r="B84" s="10" t="s">
        <v>501</v>
      </c>
      <c r="C84" s="10" t="s">
        <v>14</v>
      </c>
      <c r="D84" s="10" t="s">
        <v>16</v>
      </c>
      <c r="E84" s="34" t="s">
        <v>888</v>
      </c>
      <c r="F84" s="10"/>
      <c r="G84" s="11"/>
      <c r="H84" s="31">
        <f t="shared" ref="H84:M84" si="35">H85</f>
        <v>0</v>
      </c>
      <c r="I84" s="31">
        <f t="shared" si="35"/>
        <v>179.5</v>
      </c>
      <c r="J84" s="31">
        <f t="shared" si="35"/>
        <v>179.5</v>
      </c>
      <c r="K84" s="31">
        <f t="shared" si="35"/>
        <v>0</v>
      </c>
      <c r="L84" s="31">
        <f t="shared" si="35"/>
        <v>179.5</v>
      </c>
      <c r="M84" s="31">
        <f t="shared" si="35"/>
        <v>0</v>
      </c>
      <c r="N84" s="31">
        <v>179.5</v>
      </c>
      <c r="O84" s="36">
        <v>179.5</v>
      </c>
      <c r="P84" s="350">
        <v>179.5</v>
      </c>
      <c r="Q84" s="257">
        <v>100</v>
      </c>
    </row>
    <row r="85" spans="1:17" s="12" customFormat="1" ht="31.5">
      <c r="A85" s="8" t="s">
        <v>339</v>
      </c>
      <c r="B85" s="10" t="s">
        <v>501</v>
      </c>
      <c r="C85" s="10" t="s">
        <v>14</v>
      </c>
      <c r="D85" s="10" t="s">
        <v>16</v>
      </c>
      <c r="E85" s="34" t="s">
        <v>888</v>
      </c>
      <c r="F85" s="10" t="s">
        <v>334</v>
      </c>
      <c r="G85" s="11"/>
      <c r="H85" s="31"/>
      <c r="I85" s="31">
        <v>179.5</v>
      </c>
      <c r="J85" s="31">
        <f>H85+I85</f>
        <v>179.5</v>
      </c>
      <c r="K85" s="31"/>
      <c r="L85" s="31">
        <f>J85+K85</f>
        <v>179.5</v>
      </c>
      <c r="M85" s="31"/>
      <c r="N85" s="31">
        <v>179.5</v>
      </c>
      <c r="O85" s="7">
        <v>179.5</v>
      </c>
      <c r="P85" s="349">
        <v>179.5</v>
      </c>
      <c r="Q85" s="257">
        <v>100</v>
      </c>
    </row>
    <row r="86" spans="1:17" s="12" customFormat="1" ht="31.5">
      <c r="A86" s="8" t="s">
        <v>892</v>
      </c>
      <c r="B86" s="10" t="s">
        <v>501</v>
      </c>
      <c r="C86" s="10" t="s">
        <v>14</v>
      </c>
      <c r="D86" s="10" t="s">
        <v>16</v>
      </c>
      <c r="E86" s="34" t="s">
        <v>889</v>
      </c>
      <c r="F86" s="10"/>
      <c r="G86" s="11"/>
      <c r="H86" s="31">
        <f t="shared" ref="H86:M86" si="36">H87</f>
        <v>0</v>
      </c>
      <c r="I86" s="31">
        <f t="shared" si="36"/>
        <v>1703.5</v>
      </c>
      <c r="J86" s="31">
        <f t="shared" si="36"/>
        <v>1703.5</v>
      </c>
      <c r="K86" s="31">
        <f t="shared" si="36"/>
        <v>0</v>
      </c>
      <c r="L86" s="31">
        <f t="shared" si="36"/>
        <v>1703.5</v>
      </c>
      <c r="M86" s="31">
        <f t="shared" si="36"/>
        <v>0</v>
      </c>
      <c r="N86" s="31">
        <v>1703.5</v>
      </c>
      <c r="O86" s="36">
        <v>1703.5</v>
      </c>
      <c r="P86" s="350">
        <v>1703.5</v>
      </c>
      <c r="Q86" s="257">
        <v>100</v>
      </c>
    </row>
    <row r="87" spans="1:17" s="12" customFormat="1" ht="31.5">
      <c r="A87" s="8" t="s">
        <v>339</v>
      </c>
      <c r="B87" s="10" t="s">
        <v>501</v>
      </c>
      <c r="C87" s="10" t="s">
        <v>14</v>
      </c>
      <c r="D87" s="10" t="s">
        <v>16</v>
      </c>
      <c r="E87" s="34" t="s">
        <v>889</v>
      </c>
      <c r="F87" s="10" t="s">
        <v>334</v>
      </c>
      <c r="G87" s="11"/>
      <c r="H87" s="31"/>
      <c r="I87" s="31">
        <v>1703.5</v>
      </c>
      <c r="J87" s="31">
        <f>H87+I87</f>
        <v>1703.5</v>
      </c>
      <c r="K87" s="31"/>
      <c r="L87" s="31">
        <f>J87+K87</f>
        <v>1703.5</v>
      </c>
      <c r="M87" s="31"/>
      <c r="N87" s="31">
        <v>1703.5</v>
      </c>
      <c r="O87" s="7">
        <v>1703.5</v>
      </c>
      <c r="P87" s="349">
        <v>1703.5</v>
      </c>
      <c r="Q87" s="257">
        <v>100</v>
      </c>
    </row>
    <row r="88" spans="1:17" s="12" customFormat="1" ht="94.5">
      <c r="A88" s="35" t="s">
        <v>1040</v>
      </c>
      <c r="B88" s="10" t="s">
        <v>501</v>
      </c>
      <c r="C88" s="10" t="s">
        <v>14</v>
      </c>
      <c r="D88" s="10" t="s">
        <v>16</v>
      </c>
      <c r="E88" s="34" t="s">
        <v>885</v>
      </c>
      <c r="F88" s="10"/>
      <c r="G88" s="11"/>
      <c r="H88" s="31">
        <f t="shared" ref="H88:M88" si="37">H89</f>
        <v>0</v>
      </c>
      <c r="I88" s="31">
        <f t="shared" si="37"/>
        <v>109</v>
      </c>
      <c r="J88" s="31">
        <f t="shared" si="37"/>
        <v>109</v>
      </c>
      <c r="K88" s="31">
        <f t="shared" si="37"/>
        <v>0</v>
      </c>
      <c r="L88" s="31">
        <f t="shared" si="37"/>
        <v>109</v>
      </c>
      <c r="M88" s="31">
        <f t="shared" si="37"/>
        <v>0</v>
      </c>
      <c r="N88" s="31">
        <v>109</v>
      </c>
      <c r="O88" s="36">
        <v>109</v>
      </c>
      <c r="P88" s="350">
        <v>109</v>
      </c>
      <c r="Q88" s="257">
        <v>100</v>
      </c>
    </row>
    <row r="89" spans="1:17" s="12" customFormat="1" ht="31.5">
      <c r="A89" s="8" t="s">
        <v>339</v>
      </c>
      <c r="B89" s="10" t="s">
        <v>501</v>
      </c>
      <c r="C89" s="10" t="s">
        <v>14</v>
      </c>
      <c r="D89" s="10" t="s">
        <v>16</v>
      </c>
      <c r="E89" s="34" t="s">
        <v>885</v>
      </c>
      <c r="F89" s="10" t="s">
        <v>334</v>
      </c>
      <c r="G89" s="11"/>
      <c r="H89" s="31"/>
      <c r="I89" s="7">
        <v>109</v>
      </c>
      <c r="J89" s="7">
        <f>H89+I89</f>
        <v>109</v>
      </c>
      <c r="K89" s="7"/>
      <c r="L89" s="7">
        <f>J89+K89</f>
        <v>109</v>
      </c>
      <c r="M89" s="7"/>
      <c r="N89" s="7">
        <v>109</v>
      </c>
      <c r="O89" s="7">
        <v>109</v>
      </c>
      <c r="P89" s="349">
        <v>109</v>
      </c>
      <c r="Q89" s="257">
        <v>100</v>
      </c>
    </row>
    <row r="90" spans="1:17" s="30" customFormat="1">
      <c r="A90" s="26" t="s">
        <v>25</v>
      </c>
      <c r="B90" s="27" t="s">
        <v>501</v>
      </c>
      <c r="C90" s="27" t="s">
        <v>14</v>
      </c>
      <c r="D90" s="27" t="s">
        <v>26</v>
      </c>
      <c r="E90" s="27"/>
      <c r="F90" s="27"/>
      <c r="G90" s="28">
        <v>-39037.699999999997</v>
      </c>
      <c r="H90" s="28">
        <v>52407.199999999997</v>
      </c>
      <c r="I90" s="29" t="e">
        <f>I104+I111+I134+I108+I99+I93</f>
        <v>#REF!</v>
      </c>
      <c r="J90" s="29" t="e">
        <f>J104+J111+J134+J108+J99+J93+J91+J96</f>
        <v>#REF!</v>
      </c>
      <c r="K90" s="29" t="e">
        <f>K104+K111+K134+K108+K99+K93+K91+K96</f>
        <v>#REF!</v>
      </c>
      <c r="L90" s="29" t="e">
        <f>L104+L111+L134+L108+L99+L93+L91+L96</f>
        <v>#REF!</v>
      </c>
      <c r="M90" s="29" t="e">
        <f>M104+M111+M134+M108+M99+M93+M91+M96</f>
        <v>#REF!</v>
      </c>
      <c r="N90" s="29">
        <v>143489.29999999999</v>
      </c>
      <c r="O90" s="29">
        <v>145997.9</v>
      </c>
      <c r="P90" s="348">
        <v>144040.20000000001</v>
      </c>
      <c r="Q90" s="256">
        <v>98.66</v>
      </c>
    </row>
    <row r="91" spans="1:17" s="30" customFormat="1" ht="31.5">
      <c r="A91" s="32" t="s">
        <v>984</v>
      </c>
      <c r="B91" s="10" t="s">
        <v>501</v>
      </c>
      <c r="C91" s="10" t="s">
        <v>14</v>
      </c>
      <c r="D91" s="10" t="s">
        <v>26</v>
      </c>
      <c r="E91" s="10" t="s">
        <v>985</v>
      </c>
      <c r="F91" s="10"/>
      <c r="G91" s="11"/>
      <c r="H91" s="11"/>
      <c r="I91" s="7"/>
      <c r="J91" s="7">
        <f t="shared" ref="J91:M91" si="38">J92</f>
        <v>0</v>
      </c>
      <c r="K91" s="7">
        <f t="shared" si="38"/>
        <v>2750</v>
      </c>
      <c r="L91" s="7">
        <f t="shared" si="38"/>
        <v>2750</v>
      </c>
      <c r="M91" s="7">
        <f t="shared" si="38"/>
        <v>0</v>
      </c>
      <c r="N91" s="7">
        <v>2750</v>
      </c>
      <c r="O91" s="7">
        <v>2750</v>
      </c>
      <c r="P91" s="349">
        <v>2750</v>
      </c>
      <c r="Q91" s="257">
        <v>100</v>
      </c>
    </row>
    <row r="92" spans="1:17" s="30" customFormat="1">
      <c r="A92" s="8" t="s">
        <v>373</v>
      </c>
      <c r="B92" s="10" t="s">
        <v>501</v>
      </c>
      <c r="C92" s="10" t="s">
        <v>14</v>
      </c>
      <c r="D92" s="10" t="s">
        <v>26</v>
      </c>
      <c r="E92" s="10" t="s">
        <v>985</v>
      </c>
      <c r="F92" s="10" t="s">
        <v>372</v>
      </c>
      <c r="G92" s="11"/>
      <c r="H92" s="11"/>
      <c r="I92" s="7"/>
      <c r="J92" s="7"/>
      <c r="K92" s="7">
        <v>2750</v>
      </c>
      <c r="L92" s="7">
        <f>J92+K92</f>
        <v>2750</v>
      </c>
      <c r="M92" s="7"/>
      <c r="N92" s="7">
        <v>2750</v>
      </c>
      <c r="O92" s="7">
        <v>2750</v>
      </c>
      <c r="P92" s="349">
        <v>2750</v>
      </c>
      <c r="Q92" s="257">
        <v>100</v>
      </c>
    </row>
    <row r="93" spans="1:17" s="30" customFormat="1" ht="63">
      <c r="A93" s="9" t="s">
        <v>840</v>
      </c>
      <c r="B93" s="10" t="s">
        <v>501</v>
      </c>
      <c r="C93" s="10" t="s">
        <v>14</v>
      </c>
      <c r="D93" s="10" t="s">
        <v>26</v>
      </c>
      <c r="E93" s="10" t="s">
        <v>838</v>
      </c>
      <c r="F93" s="27"/>
      <c r="G93" s="28"/>
      <c r="H93" s="11">
        <f t="shared" ref="H93:M94" si="39">H94</f>
        <v>0</v>
      </c>
      <c r="I93" s="11">
        <f t="shared" si="39"/>
        <v>50.3</v>
      </c>
      <c r="J93" s="11">
        <f t="shared" si="39"/>
        <v>50.3</v>
      </c>
      <c r="K93" s="11">
        <f t="shared" si="39"/>
        <v>0</v>
      </c>
      <c r="L93" s="11">
        <f t="shared" si="39"/>
        <v>50.3</v>
      </c>
      <c r="M93" s="11">
        <f t="shared" si="39"/>
        <v>0</v>
      </c>
      <c r="N93" s="11">
        <v>50.3</v>
      </c>
      <c r="O93" s="52">
        <v>50.3</v>
      </c>
      <c r="P93" s="349">
        <v>50.3</v>
      </c>
      <c r="Q93" s="257">
        <v>100</v>
      </c>
    </row>
    <row r="94" spans="1:17" s="30" customFormat="1" ht="63">
      <c r="A94" s="9" t="s">
        <v>841</v>
      </c>
      <c r="B94" s="10" t="s">
        <v>501</v>
      </c>
      <c r="C94" s="10" t="s">
        <v>14</v>
      </c>
      <c r="D94" s="10" t="s">
        <v>26</v>
      </c>
      <c r="E94" s="10" t="s">
        <v>839</v>
      </c>
      <c r="F94" s="10"/>
      <c r="G94" s="11"/>
      <c r="H94" s="11">
        <f t="shared" si="39"/>
        <v>0</v>
      </c>
      <c r="I94" s="11">
        <f t="shared" si="39"/>
        <v>50.3</v>
      </c>
      <c r="J94" s="11">
        <f t="shared" si="39"/>
        <v>50.3</v>
      </c>
      <c r="K94" s="11">
        <f t="shared" si="39"/>
        <v>0</v>
      </c>
      <c r="L94" s="11">
        <f t="shared" si="39"/>
        <v>50.3</v>
      </c>
      <c r="M94" s="11">
        <f t="shared" si="39"/>
        <v>0</v>
      </c>
      <c r="N94" s="11">
        <v>50.3</v>
      </c>
      <c r="O94" s="52">
        <v>50.3</v>
      </c>
      <c r="P94" s="349">
        <v>50.3</v>
      </c>
      <c r="Q94" s="257">
        <v>100</v>
      </c>
    </row>
    <row r="95" spans="1:17" s="30" customFormat="1">
      <c r="A95" s="8" t="s">
        <v>373</v>
      </c>
      <c r="B95" s="10" t="s">
        <v>501</v>
      </c>
      <c r="C95" s="10" t="s">
        <v>14</v>
      </c>
      <c r="D95" s="10" t="s">
        <v>26</v>
      </c>
      <c r="E95" s="10" t="s">
        <v>839</v>
      </c>
      <c r="F95" s="10" t="s">
        <v>372</v>
      </c>
      <c r="G95" s="11"/>
      <c r="H95" s="11"/>
      <c r="I95" s="7">
        <v>50.3</v>
      </c>
      <c r="J95" s="7">
        <f>H95+I95</f>
        <v>50.3</v>
      </c>
      <c r="K95" s="7"/>
      <c r="L95" s="7">
        <f>J95+K95</f>
        <v>50.3</v>
      </c>
      <c r="M95" s="7"/>
      <c r="N95" s="7">
        <v>50.3</v>
      </c>
      <c r="O95" s="7">
        <v>50.3</v>
      </c>
      <c r="P95" s="349">
        <v>50.3</v>
      </c>
      <c r="Q95" s="257">
        <v>100</v>
      </c>
    </row>
    <row r="96" spans="1:17" s="30" customFormat="1" ht="31.5">
      <c r="A96" s="8" t="s">
        <v>922</v>
      </c>
      <c r="B96" s="10" t="s">
        <v>501</v>
      </c>
      <c r="C96" s="10" t="s">
        <v>14</v>
      </c>
      <c r="D96" s="10" t="s">
        <v>26</v>
      </c>
      <c r="E96" s="10" t="s">
        <v>921</v>
      </c>
      <c r="F96" s="10"/>
      <c r="G96" s="11"/>
      <c r="H96" s="11"/>
      <c r="I96" s="7"/>
      <c r="J96" s="7"/>
      <c r="K96" s="7">
        <f t="shared" ref="K96:M97" si="40">K97</f>
        <v>253.5</v>
      </c>
      <c r="L96" s="7">
        <f t="shared" si="40"/>
        <v>253.5</v>
      </c>
      <c r="M96" s="7">
        <f t="shared" si="40"/>
        <v>0</v>
      </c>
      <c r="N96" s="7">
        <v>253.5</v>
      </c>
      <c r="O96" s="7">
        <v>253.5</v>
      </c>
      <c r="P96" s="349">
        <v>253.5</v>
      </c>
      <c r="Q96" s="257">
        <v>100</v>
      </c>
    </row>
    <row r="97" spans="1:17" s="30" customFormat="1" ht="31.5">
      <c r="A97" s="8" t="s">
        <v>923</v>
      </c>
      <c r="B97" s="10" t="s">
        <v>501</v>
      </c>
      <c r="C97" s="10" t="s">
        <v>14</v>
      </c>
      <c r="D97" s="10" t="s">
        <v>26</v>
      </c>
      <c r="E97" s="10" t="s">
        <v>920</v>
      </c>
      <c r="F97" s="10"/>
      <c r="G97" s="11"/>
      <c r="H97" s="11"/>
      <c r="I97" s="7"/>
      <c r="J97" s="7"/>
      <c r="K97" s="7">
        <f t="shared" si="40"/>
        <v>253.5</v>
      </c>
      <c r="L97" s="7">
        <f t="shared" si="40"/>
        <v>253.5</v>
      </c>
      <c r="M97" s="7">
        <f t="shared" si="40"/>
        <v>0</v>
      </c>
      <c r="N97" s="7">
        <v>253.5</v>
      </c>
      <c r="O97" s="7">
        <v>253.5</v>
      </c>
      <c r="P97" s="349">
        <v>253.5</v>
      </c>
      <c r="Q97" s="257">
        <v>100</v>
      </c>
    </row>
    <row r="98" spans="1:17" s="30" customFormat="1">
      <c r="A98" s="8" t="s">
        <v>373</v>
      </c>
      <c r="B98" s="10" t="s">
        <v>501</v>
      </c>
      <c r="C98" s="10" t="s">
        <v>14</v>
      </c>
      <c r="D98" s="10" t="s">
        <v>26</v>
      </c>
      <c r="E98" s="10" t="s">
        <v>920</v>
      </c>
      <c r="F98" s="10" t="s">
        <v>372</v>
      </c>
      <c r="G98" s="11"/>
      <c r="H98" s="11"/>
      <c r="I98" s="7"/>
      <c r="J98" s="7"/>
      <c r="K98" s="7">
        <v>253.5</v>
      </c>
      <c r="L98" s="7">
        <f>J98+K98</f>
        <v>253.5</v>
      </c>
      <c r="M98" s="7"/>
      <c r="N98" s="7">
        <v>253.5</v>
      </c>
      <c r="O98" s="7">
        <v>253.5</v>
      </c>
      <c r="P98" s="349">
        <v>253.5</v>
      </c>
      <c r="Q98" s="257">
        <v>100</v>
      </c>
    </row>
    <row r="99" spans="1:17" s="30" customFormat="1" ht="31.5">
      <c r="A99" s="9" t="s">
        <v>779</v>
      </c>
      <c r="B99" s="10" t="s">
        <v>501</v>
      </c>
      <c r="C99" s="10" t="s">
        <v>14</v>
      </c>
      <c r="D99" s="10" t="s">
        <v>26</v>
      </c>
      <c r="E99" s="10" t="s">
        <v>775</v>
      </c>
      <c r="F99" s="10"/>
      <c r="G99" s="11"/>
      <c r="H99" s="11">
        <f t="shared" ref="H99:M99" si="41">H100+H102</f>
        <v>0</v>
      </c>
      <c r="I99" s="11">
        <f t="shared" si="41"/>
        <v>9039.5</v>
      </c>
      <c r="J99" s="11">
        <f t="shared" si="41"/>
        <v>9039.5</v>
      </c>
      <c r="K99" s="11">
        <f t="shared" si="41"/>
        <v>1971.4</v>
      </c>
      <c r="L99" s="11">
        <f t="shared" si="41"/>
        <v>11010.9</v>
      </c>
      <c r="M99" s="11">
        <f t="shared" si="41"/>
        <v>0</v>
      </c>
      <c r="N99" s="11">
        <v>11010.9</v>
      </c>
      <c r="O99" s="52">
        <v>11010.9</v>
      </c>
      <c r="P99" s="349">
        <v>9065.4</v>
      </c>
      <c r="Q99" s="257">
        <v>82.33</v>
      </c>
    </row>
    <row r="100" spans="1:17" s="30" customFormat="1" ht="63">
      <c r="A100" s="33" t="s">
        <v>780</v>
      </c>
      <c r="B100" s="10" t="s">
        <v>501</v>
      </c>
      <c r="C100" s="10" t="s">
        <v>14</v>
      </c>
      <c r="D100" s="10" t="s">
        <v>26</v>
      </c>
      <c r="E100" s="10" t="s">
        <v>777</v>
      </c>
      <c r="F100" s="10"/>
      <c r="G100" s="11"/>
      <c r="H100" s="11">
        <f t="shared" ref="H100:M100" si="42">H101</f>
        <v>0</v>
      </c>
      <c r="I100" s="11">
        <f t="shared" si="42"/>
        <v>7094</v>
      </c>
      <c r="J100" s="11">
        <f t="shared" si="42"/>
        <v>7094</v>
      </c>
      <c r="K100" s="11">
        <f t="shared" si="42"/>
        <v>0</v>
      </c>
      <c r="L100" s="11">
        <f t="shared" si="42"/>
        <v>7094</v>
      </c>
      <c r="M100" s="11">
        <f t="shared" si="42"/>
        <v>0</v>
      </c>
      <c r="N100" s="11">
        <v>7094</v>
      </c>
      <c r="O100" s="52">
        <v>7094</v>
      </c>
      <c r="P100" s="349">
        <v>7094</v>
      </c>
      <c r="Q100" s="257">
        <v>100</v>
      </c>
    </row>
    <row r="101" spans="1:17" s="30" customFormat="1" ht="31.5">
      <c r="A101" s="8" t="s">
        <v>339</v>
      </c>
      <c r="B101" s="10" t="s">
        <v>501</v>
      </c>
      <c r="C101" s="10" t="s">
        <v>14</v>
      </c>
      <c r="D101" s="10" t="s">
        <v>26</v>
      </c>
      <c r="E101" s="10" t="s">
        <v>777</v>
      </c>
      <c r="F101" s="10" t="s">
        <v>334</v>
      </c>
      <c r="G101" s="11"/>
      <c r="H101" s="11"/>
      <c r="I101" s="7">
        <v>7094</v>
      </c>
      <c r="J101" s="7">
        <f>H101+I101</f>
        <v>7094</v>
      </c>
      <c r="K101" s="7"/>
      <c r="L101" s="7">
        <f>J101+K101</f>
        <v>7094</v>
      </c>
      <c r="M101" s="7"/>
      <c r="N101" s="7">
        <v>7094</v>
      </c>
      <c r="O101" s="7">
        <v>7094</v>
      </c>
      <c r="P101" s="349">
        <v>7094</v>
      </c>
      <c r="Q101" s="257">
        <v>100</v>
      </c>
    </row>
    <row r="102" spans="1:17" s="30" customFormat="1" ht="110.25">
      <c r="A102" s="33" t="s">
        <v>784</v>
      </c>
      <c r="B102" s="10" t="s">
        <v>501</v>
      </c>
      <c r="C102" s="10" t="s">
        <v>14</v>
      </c>
      <c r="D102" s="10" t="s">
        <v>26</v>
      </c>
      <c r="E102" s="10" t="s">
        <v>783</v>
      </c>
      <c r="F102" s="10"/>
      <c r="G102" s="11"/>
      <c r="H102" s="11">
        <f t="shared" ref="H102:M102" si="43">H103</f>
        <v>0</v>
      </c>
      <c r="I102" s="11">
        <f t="shared" si="43"/>
        <v>1945.5</v>
      </c>
      <c r="J102" s="11">
        <f t="shared" si="43"/>
        <v>1945.5</v>
      </c>
      <c r="K102" s="11">
        <f t="shared" si="43"/>
        <v>1971.4</v>
      </c>
      <c r="L102" s="11">
        <f t="shared" si="43"/>
        <v>3916.9</v>
      </c>
      <c r="M102" s="11">
        <f t="shared" si="43"/>
        <v>0</v>
      </c>
      <c r="N102" s="11">
        <v>3916.9</v>
      </c>
      <c r="O102" s="52">
        <v>3916.9</v>
      </c>
      <c r="P102" s="349">
        <v>1971.4</v>
      </c>
      <c r="Q102" s="257">
        <v>50.33</v>
      </c>
    </row>
    <row r="103" spans="1:17" s="30" customFormat="1" ht="31.5">
      <c r="A103" s="8" t="s">
        <v>339</v>
      </c>
      <c r="B103" s="10" t="s">
        <v>501</v>
      </c>
      <c r="C103" s="10" t="s">
        <v>14</v>
      </c>
      <c r="D103" s="10" t="s">
        <v>26</v>
      </c>
      <c r="E103" s="10" t="s">
        <v>783</v>
      </c>
      <c r="F103" s="10" t="s">
        <v>334</v>
      </c>
      <c r="G103" s="11"/>
      <c r="H103" s="11"/>
      <c r="I103" s="7">
        <v>1945.5</v>
      </c>
      <c r="J103" s="7">
        <f>H103+I103</f>
        <v>1945.5</v>
      </c>
      <c r="K103" s="7">
        <v>1971.4</v>
      </c>
      <c r="L103" s="7">
        <f>J103+K103</f>
        <v>3916.9</v>
      </c>
      <c r="M103" s="7"/>
      <c r="N103" s="7">
        <v>3916.9</v>
      </c>
      <c r="O103" s="7">
        <v>3916.9</v>
      </c>
      <c r="P103" s="349">
        <v>1971.4</v>
      </c>
      <c r="Q103" s="257">
        <v>50.33</v>
      </c>
    </row>
    <row r="104" spans="1:17" s="12" customFormat="1">
      <c r="A104" s="8" t="s">
        <v>47</v>
      </c>
      <c r="B104" s="10" t="s">
        <v>501</v>
      </c>
      <c r="C104" s="10" t="s">
        <v>14</v>
      </c>
      <c r="D104" s="10" t="s">
        <v>26</v>
      </c>
      <c r="E104" s="10" t="s">
        <v>48</v>
      </c>
      <c r="F104" s="10"/>
      <c r="G104" s="11">
        <v>-8000</v>
      </c>
      <c r="H104" s="11">
        <v>0</v>
      </c>
      <c r="I104" s="7" t="e">
        <f>#REF!+I105</f>
        <v>#REF!</v>
      </c>
      <c r="J104" s="7">
        <f t="shared" ref="J104:M104" si="44">J105</f>
        <v>51708.6</v>
      </c>
      <c r="K104" s="7">
        <f t="shared" si="44"/>
        <v>0</v>
      </c>
      <c r="L104" s="7">
        <f t="shared" si="44"/>
        <v>51708.6</v>
      </c>
      <c r="M104" s="7">
        <f t="shared" si="44"/>
        <v>0</v>
      </c>
      <c r="N104" s="7">
        <v>51708.6</v>
      </c>
      <c r="O104" s="7">
        <v>54217.2</v>
      </c>
      <c r="P104" s="349">
        <v>54217.2</v>
      </c>
      <c r="Q104" s="257">
        <v>100</v>
      </c>
    </row>
    <row r="105" spans="1:17" s="12" customFormat="1" ht="31.5">
      <c r="A105" s="33" t="s">
        <v>1041</v>
      </c>
      <c r="B105" s="10" t="s">
        <v>501</v>
      </c>
      <c r="C105" s="10" t="s">
        <v>14</v>
      </c>
      <c r="D105" s="10" t="s">
        <v>26</v>
      </c>
      <c r="E105" s="10" t="s">
        <v>785</v>
      </c>
      <c r="F105" s="10"/>
      <c r="G105" s="11"/>
      <c r="H105" s="11">
        <f t="shared" ref="H105:M106" si="45">H106</f>
        <v>0</v>
      </c>
      <c r="I105" s="11">
        <f t="shared" si="45"/>
        <v>51708.6</v>
      </c>
      <c r="J105" s="11">
        <f t="shared" si="45"/>
        <v>51708.6</v>
      </c>
      <c r="K105" s="11">
        <f t="shared" si="45"/>
        <v>0</v>
      </c>
      <c r="L105" s="11">
        <f t="shared" si="45"/>
        <v>51708.6</v>
      </c>
      <c r="M105" s="11">
        <f t="shared" si="45"/>
        <v>0</v>
      </c>
      <c r="N105" s="11">
        <v>51708.6</v>
      </c>
      <c r="O105" s="52">
        <v>54217.2</v>
      </c>
      <c r="P105" s="349">
        <v>54217.2</v>
      </c>
      <c r="Q105" s="257">
        <v>100</v>
      </c>
    </row>
    <row r="106" spans="1:17" s="12" customFormat="1" ht="78.75">
      <c r="A106" s="33" t="s">
        <v>787</v>
      </c>
      <c r="B106" s="10" t="s">
        <v>501</v>
      </c>
      <c r="C106" s="10" t="s">
        <v>14</v>
      </c>
      <c r="D106" s="10" t="s">
        <v>26</v>
      </c>
      <c r="E106" s="10" t="s">
        <v>786</v>
      </c>
      <c r="F106" s="10"/>
      <c r="G106" s="11"/>
      <c r="H106" s="11">
        <f t="shared" si="45"/>
        <v>0</v>
      </c>
      <c r="I106" s="11">
        <f t="shared" si="45"/>
        <v>51708.6</v>
      </c>
      <c r="J106" s="11">
        <f t="shared" si="45"/>
        <v>51708.6</v>
      </c>
      <c r="K106" s="11">
        <f t="shared" si="45"/>
        <v>0</v>
      </c>
      <c r="L106" s="11">
        <f t="shared" si="45"/>
        <v>51708.6</v>
      </c>
      <c r="M106" s="11">
        <f t="shared" si="45"/>
        <v>0</v>
      </c>
      <c r="N106" s="11">
        <v>51708.6</v>
      </c>
      <c r="O106" s="52">
        <v>54217.2</v>
      </c>
      <c r="P106" s="349">
        <v>54217.2</v>
      </c>
      <c r="Q106" s="257">
        <v>100</v>
      </c>
    </row>
    <row r="107" spans="1:17" s="12" customFormat="1">
      <c r="A107" s="9" t="s">
        <v>648</v>
      </c>
      <c r="B107" s="10" t="s">
        <v>501</v>
      </c>
      <c r="C107" s="10" t="s">
        <v>14</v>
      </c>
      <c r="D107" s="10" t="s">
        <v>26</v>
      </c>
      <c r="E107" s="10" t="s">
        <v>786</v>
      </c>
      <c r="F107" s="10" t="s">
        <v>649</v>
      </c>
      <c r="G107" s="11"/>
      <c r="H107" s="11"/>
      <c r="I107" s="7">
        <v>51708.6</v>
      </c>
      <c r="J107" s="7">
        <f>H107+I107</f>
        <v>51708.6</v>
      </c>
      <c r="K107" s="7"/>
      <c r="L107" s="7">
        <f>J107+K107</f>
        <v>51708.6</v>
      </c>
      <c r="M107" s="7"/>
      <c r="N107" s="7">
        <v>51708.6</v>
      </c>
      <c r="O107" s="7">
        <v>54217.2</v>
      </c>
      <c r="P107" s="349">
        <v>54217.2</v>
      </c>
      <c r="Q107" s="257">
        <v>100</v>
      </c>
    </row>
    <row r="108" spans="1:17" s="12" customFormat="1">
      <c r="A108" s="9" t="s">
        <v>769</v>
      </c>
      <c r="B108" s="10" t="s">
        <v>501</v>
      </c>
      <c r="C108" s="10" t="s">
        <v>14</v>
      </c>
      <c r="D108" s="10" t="s">
        <v>26</v>
      </c>
      <c r="E108" s="10" t="s">
        <v>767</v>
      </c>
      <c r="F108" s="10"/>
      <c r="G108" s="11"/>
      <c r="H108" s="31">
        <f t="shared" ref="H108:M109" si="46">H109</f>
        <v>0</v>
      </c>
      <c r="I108" s="36">
        <f t="shared" si="46"/>
        <v>26108.6</v>
      </c>
      <c r="J108" s="36">
        <f t="shared" si="46"/>
        <v>26108.6</v>
      </c>
      <c r="K108" s="36">
        <f t="shared" si="46"/>
        <v>0</v>
      </c>
      <c r="L108" s="36">
        <f t="shared" si="46"/>
        <v>26108.6</v>
      </c>
      <c r="M108" s="36">
        <f t="shared" si="46"/>
        <v>0</v>
      </c>
      <c r="N108" s="36">
        <v>26108.6</v>
      </c>
      <c r="O108" s="36">
        <v>26108.6</v>
      </c>
      <c r="P108" s="350">
        <v>26108.6</v>
      </c>
      <c r="Q108" s="257">
        <v>100</v>
      </c>
    </row>
    <row r="109" spans="1:17" s="12" customFormat="1" ht="31.5">
      <c r="A109" s="9" t="s">
        <v>770</v>
      </c>
      <c r="B109" s="10" t="s">
        <v>501</v>
      </c>
      <c r="C109" s="10" t="s">
        <v>14</v>
      </c>
      <c r="D109" s="10" t="s">
        <v>26</v>
      </c>
      <c r="E109" s="10" t="s">
        <v>768</v>
      </c>
      <c r="F109" s="10"/>
      <c r="G109" s="11"/>
      <c r="H109" s="31">
        <f t="shared" si="46"/>
        <v>0</v>
      </c>
      <c r="I109" s="36">
        <f t="shared" si="46"/>
        <v>26108.6</v>
      </c>
      <c r="J109" s="36">
        <f t="shared" si="46"/>
        <v>26108.6</v>
      </c>
      <c r="K109" s="36">
        <f t="shared" si="46"/>
        <v>0</v>
      </c>
      <c r="L109" s="36">
        <f t="shared" si="46"/>
        <v>26108.6</v>
      </c>
      <c r="M109" s="36">
        <f t="shared" si="46"/>
        <v>0</v>
      </c>
      <c r="N109" s="36">
        <v>26108.6</v>
      </c>
      <c r="O109" s="36">
        <v>26108.6</v>
      </c>
      <c r="P109" s="350">
        <v>26108.6</v>
      </c>
      <c r="Q109" s="257">
        <v>100</v>
      </c>
    </row>
    <row r="110" spans="1:17" s="12" customFormat="1">
      <c r="A110" s="9" t="s">
        <v>648</v>
      </c>
      <c r="B110" s="10" t="s">
        <v>501</v>
      </c>
      <c r="C110" s="10" t="s">
        <v>14</v>
      </c>
      <c r="D110" s="10" t="s">
        <v>26</v>
      </c>
      <c r="E110" s="10" t="s">
        <v>768</v>
      </c>
      <c r="F110" s="10" t="s">
        <v>649</v>
      </c>
      <c r="G110" s="11"/>
      <c r="H110" s="31"/>
      <c r="I110" s="7">
        <v>26108.6</v>
      </c>
      <c r="J110" s="7">
        <f>H110+I110</f>
        <v>26108.6</v>
      </c>
      <c r="K110" s="7"/>
      <c r="L110" s="7">
        <f>J110+K110</f>
        <v>26108.6</v>
      </c>
      <c r="M110" s="7"/>
      <c r="N110" s="7">
        <v>26108.6</v>
      </c>
      <c r="O110" s="7">
        <v>26108.6</v>
      </c>
      <c r="P110" s="349">
        <v>26108.6</v>
      </c>
      <c r="Q110" s="257">
        <v>100</v>
      </c>
    </row>
    <row r="111" spans="1:17" s="12" customFormat="1">
      <c r="A111" s="8" t="s">
        <v>17</v>
      </c>
      <c r="B111" s="10" t="s">
        <v>501</v>
      </c>
      <c r="C111" s="10" t="s">
        <v>14</v>
      </c>
      <c r="D111" s="10" t="s">
        <v>26</v>
      </c>
      <c r="E111" s="34" t="s">
        <v>18</v>
      </c>
      <c r="F111" s="10"/>
      <c r="G111" s="11">
        <v>-48037.7</v>
      </c>
      <c r="H111" s="11">
        <v>35407.199999999997</v>
      </c>
      <c r="I111" s="7" t="e">
        <f>I112+I125+I129+I123+I127</f>
        <v>#REF!</v>
      </c>
      <c r="J111" s="7" t="e">
        <f>J112+J125+J129+J123+J127</f>
        <v>#REF!</v>
      </c>
      <c r="K111" s="7" t="e">
        <f>K112+K125+K129+K123+K127</f>
        <v>#REF!</v>
      </c>
      <c r="L111" s="7" t="e">
        <f>L112+L125+L129+L123+L127</f>
        <v>#REF!</v>
      </c>
      <c r="M111" s="7" t="e">
        <f>M112+M125+M129+M123+M127</f>
        <v>#REF!</v>
      </c>
      <c r="N111" s="7">
        <v>29824.400000000001</v>
      </c>
      <c r="O111" s="7">
        <v>29824.400000000001</v>
      </c>
      <c r="P111" s="349">
        <v>29824.400000000001</v>
      </c>
      <c r="Q111" s="257">
        <v>100</v>
      </c>
    </row>
    <row r="112" spans="1:17" s="12" customFormat="1" ht="63">
      <c r="A112" s="6" t="s">
        <v>912</v>
      </c>
      <c r="B112" s="10" t="s">
        <v>501</v>
      </c>
      <c r="C112" s="10" t="s">
        <v>14</v>
      </c>
      <c r="D112" s="10" t="s">
        <v>26</v>
      </c>
      <c r="E112" s="10" t="s">
        <v>19</v>
      </c>
      <c r="F112" s="10"/>
      <c r="G112" s="11">
        <v>-48037.7</v>
      </c>
      <c r="H112" s="11">
        <v>25125.1</v>
      </c>
      <c r="I112" s="7" t="e">
        <f>#REF!+I113+#REF!+#REF!+#REF!+#REF!+#REF!+I115+#REF!+I117+#REF!+#REF!+I119+#REF!+#REF!+#REF!+#REF!</f>
        <v>#REF!</v>
      </c>
      <c r="J112" s="7" t="e">
        <f>J113+J115+J117+J119+J121</f>
        <v>#REF!</v>
      </c>
      <c r="K112" s="7" t="e">
        <f>K113+K115+K117+K119+K121</f>
        <v>#REF!</v>
      </c>
      <c r="L112" s="7" t="e">
        <f>L113+L115+L117+L119+L121</f>
        <v>#REF!</v>
      </c>
      <c r="M112" s="7" t="e">
        <f>M113+M115+M117+M119+M121</f>
        <v>#REF!</v>
      </c>
      <c r="N112" s="7">
        <v>9100.5</v>
      </c>
      <c r="O112" s="7">
        <v>9100.5</v>
      </c>
      <c r="P112" s="349">
        <v>9100.5</v>
      </c>
      <c r="Q112" s="257">
        <v>100</v>
      </c>
    </row>
    <row r="113" spans="1:17" s="12" customFormat="1" ht="47.25">
      <c r="A113" s="8" t="s">
        <v>485</v>
      </c>
      <c r="B113" s="10" t="s">
        <v>501</v>
      </c>
      <c r="C113" s="10" t="s">
        <v>14</v>
      </c>
      <c r="D113" s="10" t="s">
        <v>26</v>
      </c>
      <c r="E113" s="10" t="s">
        <v>398</v>
      </c>
      <c r="F113" s="10"/>
      <c r="G113" s="11">
        <v>1700</v>
      </c>
      <c r="H113" s="11">
        <v>1720.2</v>
      </c>
      <c r="I113" s="7" t="e">
        <f>#REF!+I114+#REF!</f>
        <v>#REF!</v>
      </c>
      <c r="J113" s="7" t="e">
        <f>#REF!+J114</f>
        <v>#REF!</v>
      </c>
      <c r="K113" s="7" t="e">
        <f>#REF!+K114</f>
        <v>#REF!</v>
      </c>
      <c r="L113" s="7" t="e">
        <f>#REF!+L114</f>
        <v>#REF!</v>
      </c>
      <c r="M113" s="7" t="e">
        <f>#REF!+M114</f>
        <v>#REF!</v>
      </c>
      <c r="N113" s="7">
        <v>1000</v>
      </c>
      <c r="O113" s="7">
        <v>1000</v>
      </c>
      <c r="P113" s="349">
        <v>1000</v>
      </c>
      <c r="Q113" s="257">
        <v>100</v>
      </c>
    </row>
    <row r="114" spans="1:17" s="12" customFormat="1">
      <c r="A114" s="8" t="s">
        <v>373</v>
      </c>
      <c r="B114" s="10" t="s">
        <v>501</v>
      </c>
      <c r="C114" s="10" t="s">
        <v>14</v>
      </c>
      <c r="D114" s="10" t="s">
        <v>26</v>
      </c>
      <c r="E114" s="10" t="s">
        <v>398</v>
      </c>
      <c r="F114" s="10" t="s">
        <v>372</v>
      </c>
      <c r="G114" s="11">
        <v>20.2</v>
      </c>
      <c r="H114" s="31">
        <v>20.2</v>
      </c>
      <c r="I114" s="7">
        <f>1000-20.2</f>
        <v>979.8</v>
      </c>
      <c r="J114" s="7">
        <f>H114+I114</f>
        <v>1000</v>
      </c>
      <c r="K114" s="7"/>
      <c r="L114" s="7">
        <f>J114+K114</f>
        <v>1000</v>
      </c>
      <c r="M114" s="7"/>
      <c r="N114" s="7">
        <v>1000</v>
      </c>
      <c r="O114" s="7">
        <v>1000</v>
      </c>
      <c r="P114" s="349">
        <v>1000</v>
      </c>
      <c r="Q114" s="257">
        <v>100</v>
      </c>
    </row>
    <row r="115" spans="1:17" s="12" customFormat="1" ht="47.25">
      <c r="A115" s="8" t="s">
        <v>482</v>
      </c>
      <c r="B115" s="10" t="s">
        <v>501</v>
      </c>
      <c r="C115" s="10" t="s">
        <v>14</v>
      </c>
      <c r="D115" s="10" t="s">
        <v>26</v>
      </c>
      <c r="E115" s="10" t="s">
        <v>399</v>
      </c>
      <c r="F115" s="10"/>
      <c r="G115" s="11">
        <v>0</v>
      </c>
      <c r="H115" s="11">
        <v>2700</v>
      </c>
      <c r="I115" s="7" t="e">
        <f>I116+#REF!</f>
        <v>#REF!</v>
      </c>
      <c r="J115" s="7">
        <f t="shared" ref="J115:M115" si="47">J116</f>
        <v>2700</v>
      </c>
      <c r="K115" s="7">
        <f t="shared" si="47"/>
        <v>-675</v>
      </c>
      <c r="L115" s="7">
        <f t="shared" si="47"/>
        <v>2025</v>
      </c>
      <c r="M115" s="7">
        <f t="shared" si="47"/>
        <v>0</v>
      </c>
      <c r="N115" s="7">
        <v>2025</v>
      </c>
      <c r="O115" s="7">
        <v>2025</v>
      </c>
      <c r="P115" s="349">
        <v>2025</v>
      </c>
      <c r="Q115" s="257">
        <v>100</v>
      </c>
    </row>
    <row r="116" spans="1:17" s="12" customFormat="1" ht="47.25">
      <c r="A116" s="8" t="s">
        <v>360</v>
      </c>
      <c r="B116" s="10" t="s">
        <v>501</v>
      </c>
      <c r="C116" s="10" t="s">
        <v>14</v>
      </c>
      <c r="D116" s="10" t="s">
        <v>26</v>
      </c>
      <c r="E116" s="10" t="s">
        <v>399</v>
      </c>
      <c r="F116" s="10" t="s">
        <v>359</v>
      </c>
      <c r="G116" s="11">
        <v>-2700</v>
      </c>
      <c r="H116" s="31">
        <v>0</v>
      </c>
      <c r="I116" s="7">
        <v>2700</v>
      </c>
      <c r="J116" s="7">
        <f>H116+I116</f>
        <v>2700</v>
      </c>
      <c r="K116" s="7">
        <v>-675</v>
      </c>
      <c r="L116" s="7">
        <f>J116+K116</f>
        <v>2025</v>
      </c>
      <c r="M116" s="7"/>
      <c r="N116" s="7">
        <v>2025</v>
      </c>
      <c r="O116" s="7">
        <v>2025</v>
      </c>
      <c r="P116" s="349">
        <v>2025</v>
      </c>
      <c r="Q116" s="257">
        <v>100</v>
      </c>
    </row>
    <row r="117" spans="1:17" s="12" customFormat="1" ht="47.25">
      <c r="A117" s="8" t="s">
        <v>483</v>
      </c>
      <c r="B117" s="10" t="s">
        <v>501</v>
      </c>
      <c r="C117" s="10" t="s">
        <v>14</v>
      </c>
      <c r="D117" s="10" t="s">
        <v>26</v>
      </c>
      <c r="E117" s="10" t="s">
        <v>400</v>
      </c>
      <c r="F117" s="10"/>
      <c r="G117" s="11">
        <v>-254</v>
      </c>
      <c r="H117" s="11">
        <v>2746</v>
      </c>
      <c r="I117" s="7" t="e">
        <f>I118+#REF!</f>
        <v>#REF!</v>
      </c>
      <c r="J117" s="7">
        <f t="shared" ref="J117:M117" si="48">J118</f>
        <v>2746</v>
      </c>
      <c r="K117" s="7">
        <f t="shared" si="48"/>
        <v>-685</v>
      </c>
      <c r="L117" s="7">
        <f t="shared" si="48"/>
        <v>2061</v>
      </c>
      <c r="M117" s="7">
        <f t="shared" si="48"/>
        <v>0</v>
      </c>
      <c r="N117" s="7">
        <v>2061</v>
      </c>
      <c r="O117" s="7">
        <v>2061</v>
      </c>
      <c r="P117" s="349">
        <v>2061</v>
      </c>
      <c r="Q117" s="257">
        <v>100</v>
      </c>
    </row>
    <row r="118" spans="1:17" s="12" customFormat="1" ht="47.25">
      <c r="A118" s="8" t="s">
        <v>360</v>
      </c>
      <c r="B118" s="10" t="s">
        <v>501</v>
      </c>
      <c r="C118" s="10" t="s">
        <v>14</v>
      </c>
      <c r="D118" s="10" t="s">
        <v>26</v>
      </c>
      <c r="E118" s="10" t="s">
        <v>400</v>
      </c>
      <c r="F118" s="10" t="s">
        <v>359</v>
      </c>
      <c r="G118" s="11">
        <v>-3000</v>
      </c>
      <c r="H118" s="31">
        <v>0</v>
      </c>
      <c r="I118" s="7">
        <v>2746</v>
      </c>
      <c r="J118" s="7">
        <f>H118+I118</f>
        <v>2746</v>
      </c>
      <c r="K118" s="7">
        <v>-685</v>
      </c>
      <c r="L118" s="7">
        <f>J118+K118</f>
        <v>2061</v>
      </c>
      <c r="M118" s="7"/>
      <c r="N118" s="7">
        <v>2061</v>
      </c>
      <c r="O118" s="7">
        <v>2061</v>
      </c>
      <c r="P118" s="349">
        <v>2061</v>
      </c>
      <c r="Q118" s="257">
        <v>100</v>
      </c>
    </row>
    <row r="119" spans="1:17" s="12" customFormat="1" ht="47.25">
      <c r="A119" s="8" t="s">
        <v>484</v>
      </c>
      <c r="B119" s="10" t="s">
        <v>501</v>
      </c>
      <c r="C119" s="10" t="s">
        <v>14</v>
      </c>
      <c r="D119" s="10" t="s">
        <v>26</v>
      </c>
      <c r="E119" s="10" t="s">
        <v>401</v>
      </c>
      <c r="F119" s="10"/>
      <c r="G119" s="11">
        <v>-9000</v>
      </c>
      <c r="H119" s="11">
        <v>1210.8</v>
      </c>
      <c r="I119" s="7" t="e">
        <f>I120+#REF!</f>
        <v>#REF!</v>
      </c>
      <c r="J119" s="7">
        <f t="shared" ref="J119:M119" si="49">J120</f>
        <v>1210.8</v>
      </c>
      <c r="K119" s="7">
        <f t="shared" si="49"/>
        <v>-302.7</v>
      </c>
      <c r="L119" s="7">
        <f t="shared" si="49"/>
        <v>908.1</v>
      </c>
      <c r="M119" s="7">
        <f t="shared" si="49"/>
        <v>0</v>
      </c>
      <c r="N119" s="7">
        <v>908.1</v>
      </c>
      <c r="O119" s="7">
        <v>908.1</v>
      </c>
      <c r="P119" s="349">
        <v>908.1</v>
      </c>
      <c r="Q119" s="257">
        <v>100</v>
      </c>
    </row>
    <row r="120" spans="1:17" s="12" customFormat="1" ht="47.25">
      <c r="A120" s="8" t="s">
        <v>360</v>
      </c>
      <c r="B120" s="10" t="s">
        <v>501</v>
      </c>
      <c r="C120" s="10" t="s">
        <v>14</v>
      </c>
      <c r="D120" s="10" t="s">
        <v>26</v>
      </c>
      <c r="E120" s="10" t="s">
        <v>401</v>
      </c>
      <c r="F120" s="10" t="s">
        <v>359</v>
      </c>
      <c r="G120" s="11">
        <v>-10210.799999999999</v>
      </c>
      <c r="H120" s="31">
        <v>0</v>
      </c>
      <c r="I120" s="7">
        <v>1210.8</v>
      </c>
      <c r="J120" s="7">
        <f>H120+I120</f>
        <v>1210.8</v>
      </c>
      <c r="K120" s="7">
        <v>-302.7</v>
      </c>
      <c r="L120" s="7">
        <f>J120+K120</f>
        <v>908.1</v>
      </c>
      <c r="M120" s="7"/>
      <c r="N120" s="7">
        <v>908.1</v>
      </c>
      <c r="O120" s="7">
        <v>908.1</v>
      </c>
      <c r="P120" s="349">
        <v>908.1</v>
      </c>
      <c r="Q120" s="257">
        <v>100</v>
      </c>
    </row>
    <row r="121" spans="1:17" s="12" customFormat="1" ht="47.25">
      <c r="A121" s="9" t="s">
        <v>947</v>
      </c>
      <c r="B121" s="37" t="s">
        <v>501</v>
      </c>
      <c r="C121" s="37" t="s">
        <v>14</v>
      </c>
      <c r="D121" s="37" t="s">
        <v>26</v>
      </c>
      <c r="E121" s="37" t="s">
        <v>942</v>
      </c>
      <c r="F121" s="37"/>
      <c r="G121" s="38"/>
      <c r="H121" s="39"/>
      <c r="I121" s="40"/>
      <c r="J121" s="40">
        <f t="shared" ref="J121:M121" si="50">J122</f>
        <v>0</v>
      </c>
      <c r="K121" s="40">
        <f t="shared" si="50"/>
        <v>3106.4</v>
      </c>
      <c r="L121" s="40">
        <f t="shared" si="50"/>
        <v>3106.4</v>
      </c>
      <c r="M121" s="40">
        <f t="shared" si="50"/>
        <v>0</v>
      </c>
      <c r="N121" s="40">
        <v>3106.4</v>
      </c>
      <c r="O121" s="40">
        <v>3106.4</v>
      </c>
      <c r="P121" s="282">
        <v>3106.4</v>
      </c>
      <c r="Q121" s="257">
        <v>100</v>
      </c>
    </row>
    <row r="122" spans="1:17" s="12" customFormat="1">
      <c r="A122" s="9" t="s">
        <v>367</v>
      </c>
      <c r="B122" s="37" t="s">
        <v>501</v>
      </c>
      <c r="C122" s="37" t="s">
        <v>14</v>
      </c>
      <c r="D122" s="37" t="s">
        <v>26</v>
      </c>
      <c r="E122" s="37" t="s">
        <v>942</v>
      </c>
      <c r="F122" s="37" t="s">
        <v>365</v>
      </c>
      <c r="G122" s="38"/>
      <c r="H122" s="39"/>
      <c r="I122" s="40"/>
      <c r="J122" s="40"/>
      <c r="K122" s="40">
        <v>3106.4</v>
      </c>
      <c r="L122" s="40">
        <f>J122+K122</f>
        <v>3106.4</v>
      </c>
      <c r="M122" s="40"/>
      <c r="N122" s="40">
        <v>3106.4</v>
      </c>
      <c r="O122" s="7">
        <v>3106.4</v>
      </c>
      <c r="P122" s="349">
        <v>3106.4</v>
      </c>
      <c r="Q122" s="257">
        <v>100</v>
      </c>
    </row>
    <row r="123" spans="1:17" s="12" customFormat="1" ht="47.25">
      <c r="A123" s="9" t="s">
        <v>876</v>
      </c>
      <c r="B123" s="10" t="s">
        <v>501</v>
      </c>
      <c r="C123" s="10" t="s">
        <v>14</v>
      </c>
      <c r="D123" s="10" t="s">
        <v>26</v>
      </c>
      <c r="E123" s="10" t="s">
        <v>625</v>
      </c>
      <c r="F123" s="10"/>
      <c r="G123" s="11"/>
      <c r="H123" s="31">
        <f t="shared" ref="H123:M123" si="51">H124</f>
        <v>0</v>
      </c>
      <c r="I123" s="36">
        <f t="shared" si="51"/>
        <v>10588.3</v>
      </c>
      <c r="J123" s="36">
        <f t="shared" si="51"/>
        <v>10588.3</v>
      </c>
      <c r="K123" s="36">
        <f t="shared" si="51"/>
        <v>0</v>
      </c>
      <c r="L123" s="36">
        <f t="shared" si="51"/>
        <v>10588.3</v>
      </c>
      <c r="M123" s="36">
        <f t="shared" si="51"/>
        <v>0</v>
      </c>
      <c r="N123" s="36">
        <v>10588.3</v>
      </c>
      <c r="O123" s="36">
        <v>10588.3</v>
      </c>
      <c r="P123" s="350">
        <v>10588.3</v>
      </c>
      <c r="Q123" s="257">
        <v>100</v>
      </c>
    </row>
    <row r="124" spans="1:17" s="12" customFormat="1">
      <c r="A124" s="8" t="s">
        <v>373</v>
      </c>
      <c r="B124" s="10" t="s">
        <v>501</v>
      </c>
      <c r="C124" s="10" t="s">
        <v>14</v>
      </c>
      <c r="D124" s="10" t="s">
        <v>26</v>
      </c>
      <c r="E124" s="10" t="s">
        <v>625</v>
      </c>
      <c r="F124" s="10" t="s">
        <v>372</v>
      </c>
      <c r="G124" s="11"/>
      <c r="H124" s="31"/>
      <c r="I124" s="7">
        <f>2000+10000-2000+588.3</f>
        <v>10588.3</v>
      </c>
      <c r="J124" s="7">
        <f>H124+I124</f>
        <v>10588.3</v>
      </c>
      <c r="K124" s="7"/>
      <c r="L124" s="7">
        <f>J124+K124</f>
        <v>10588.3</v>
      </c>
      <c r="M124" s="7"/>
      <c r="N124" s="7">
        <v>10588.3</v>
      </c>
      <c r="O124" s="7">
        <v>10588.3</v>
      </c>
      <c r="P124" s="349">
        <v>10588.3</v>
      </c>
      <c r="Q124" s="257">
        <v>100</v>
      </c>
    </row>
    <row r="125" spans="1:17" s="12" customFormat="1" ht="47.25">
      <c r="A125" s="8" t="s">
        <v>737</v>
      </c>
      <c r="B125" s="10" t="s">
        <v>501</v>
      </c>
      <c r="C125" s="10" t="s">
        <v>14</v>
      </c>
      <c r="D125" s="10" t="s">
        <v>26</v>
      </c>
      <c r="E125" s="34" t="s">
        <v>454</v>
      </c>
      <c r="F125" s="10"/>
      <c r="G125" s="11">
        <v>0</v>
      </c>
      <c r="H125" s="11">
        <v>505.8</v>
      </c>
      <c r="I125" s="7" t="e">
        <f>#REF!</f>
        <v>#REF!</v>
      </c>
      <c r="J125" s="7" t="e">
        <f>#REF!+J126</f>
        <v>#REF!</v>
      </c>
      <c r="K125" s="7" t="e">
        <f>#REF!+K126</f>
        <v>#REF!</v>
      </c>
      <c r="L125" s="7" t="e">
        <f>#REF!+L126</f>
        <v>#REF!</v>
      </c>
      <c r="M125" s="7" t="e">
        <f>#REF!+M126</f>
        <v>#REF!</v>
      </c>
      <c r="N125" s="7">
        <v>105.8</v>
      </c>
      <c r="O125" s="7">
        <v>105.8</v>
      </c>
      <c r="P125" s="349">
        <v>105.8</v>
      </c>
      <c r="Q125" s="257">
        <v>100</v>
      </c>
    </row>
    <row r="126" spans="1:17" s="12" customFormat="1">
      <c r="A126" s="8" t="s">
        <v>373</v>
      </c>
      <c r="B126" s="10" t="s">
        <v>501</v>
      </c>
      <c r="C126" s="10" t="s">
        <v>14</v>
      </c>
      <c r="D126" s="10" t="s">
        <v>26</v>
      </c>
      <c r="E126" s="34" t="s">
        <v>454</v>
      </c>
      <c r="F126" s="10" t="s">
        <v>372</v>
      </c>
      <c r="G126" s="11"/>
      <c r="H126" s="31"/>
      <c r="I126" s="7"/>
      <c r="J126" s="7"/>
      <c r="K126" s="7">
        <v>105.8</v>
      </c>
      <c r="L126" s="7">
        <f>J126+K126</f>
        <v>105.8</v>
      </c>
      <c r="M126" s="7"/>
      <c r="N126" s="7">
        <v>105.8</v>
      </c>
      <c r="O126" s="7">
        <v>105.8</v>
      </c>
      <c r="P126" s="349">
        <v>105.8</v>
      </c>
      <c r="Q126" s="257">
        <v>100</v>
      </c>
    </row>
    <row r="127" spans="1:17" s="12" customFormat="1">
      <c r="A127" s="8" t="s">
        <v>1009</v>
      </c>
      <c r="B127" s="10" t="s">
        <v>501</v>
      </c>
      <c r="C127" s="10" t="s">
        <v>14</v>
      </c>
      <c r="D127" s="10" t="s">
        <v>26</v>
      </c>
      <c r="E127" s="34" t="s">
        <v>66</v>
      </c>
      <c r="F127" s="10"/>
      <c r="G127" s="11"/>
      <c r="H127" s="31">
        <f t="shared" ref="H127:M127" si="52">H128</f>
        <v>0</v>
      </c>
      <c r="I127" s="7">
        <f t="shared" si="52"/>
        <v>253.5</v>
      </c>
      <c r="J127" s="7">
        <f t="shared" si="52"/>
        <v>253.5</v>
      </c>
      <c r="K127" s="7">
        <f t="shared" si="52"/>
        <v>0</v>
      </c>
      <c r="L127" s="7">
        <f t="shared" si="52"/>
        <v>253.5</v>
      </c>
      <c r="M127" s="7">
        <f t="shared" si="52"/>
        <v>0</v>
      </c>
      <c r="N127" s="7">
        <v>253.5</v>
      </c>
      <c r="O127" s="7">
        <v>253.5</v>
      </c>
      <c r="P127" s="349">
        <v>253.5</v>
      </c>
      <c r="Q127" s="257">
        <v>100</v>
      </c>
    </row>
    <row r="128" spans="1:17" s="12" customFormat="1">
      <c r="A128" s="8" t="s">
        <v>373</v>
      </c>
      <c r="B128" s="10" t="s">
        <v>501</v>
      </c>
      <c r="C128" s="10" t="s">
        <v>14</v>
      </c>
      <c r="D128" s="10" t="s">
        <v>26</v>
      </c>
      <c r="E128" s="34" t="s">
        <v>66</v>
      </c>
      <c r="F128" s="10" t="s">
        <v>372</v>
      </c>
      <c r="G128" s="11"/>
      <c r="H128" s="31"/>
      <c r="I128" s="7">
        <f>126.7+126.8</f>
        <v>253.5</v>
      </c>
      <c r="J128" s="7">
        <f>H128+I128</f>
        <v>253.5</v>
      </c>
      <c r="K128" s="7"/>
      <c r="L128" s="7">
        <f>J128+K128</f>
        <v>253.5</v>
      </c>
      <c r="M128" s="7"/>
      <c r="N128" s="7">
        <v>253.5</v>
      </c>
      <c r="O128" s="7">
        <v>253.5</v>
      </c>
      <c r="P128" s="349">
        <v>253.5</v>
      </c>
      <c r="Q128" s="257">
        <v>100</v>
      </c>
    </row>
    <row r="129" spans="1:17" s="12" customFormat="1" ht="31.5">
      <c r="A129" s="8" t="s">
        <v>21</v>
      </c>
      <c r="B129" s="10" t="s">
        <v>501</v>
      </c>
      <c r="C129" s="10" t="s">
        <v>14</v>
      </c>
      <c r="D129" s="10" t="s">
        <v>26</v>
      </c>
      <c r="E129" s="34" t="s">
        <v>22</v>
      </c>
      <c r="F129" s="10"/>
      <c r="G129" s="11">
        <v>0</v>
      </c>
      <c r="H129" s="11">
        <v>9776.2999999999993</v>
      </c>
      <c r="I129" s="7">
        <f t="shared" ref="I129:M129" si="53">I130+I132</f>
        <v>0</v>
      </c>
      <c r="J129" s="7">
        <f t="shared" si="53"/>
        <v>9776.2999999999993</v>
      </c>
      <c r="K129" s="7">
        <f t="shared" si="53"/>
        <v>0</v>
      </c>
      <c r="L129" s="7">
        <f t="shared" si="53"/>
        <v>9776.2999999999993</v>
      </c>
      <c r="M129" s="7">
        <f t="shared" si="53"/>
        <v>0</v>
      </c>
      <c r="N129" s="7">
        <v>9776.2999999999993</v>
      </c>
      <c r="O129" s="7">
        <v>9776.2999999999993</v>
      </c>
      <c r="P129" s="349">
        <v>9776.2999999999993</v>
      </c>
      <c r="Q129" s="257">
        <v>100</v>
      </c>
    </row>
    <row r="130" spans="1:17" s="12" customFormat="1" ht="31.5">
      <c r="A130" s="8" t="s">
        <v>520</v>
      </c>
      <c r="B130" s="10" t="s">
        <v>501</v>
      </c>
      <c r="C130" s="10" t="s">
        <v>14</v>
      </c>
      <c r="D130" s="10" t="s">
        <v>26</v>
      </c>
      <c r="E130" s="34" t="s">
        <v>23</v>
      </c>
      <c r="F130" s="10"/>
      <c r="G130" s="11">
        <v>0</v>
      </c>
      <c r="H130" s="11">
        <v>793.9</v>
      </c>
      <c r="I130" s="7">
        <f t="shared" ref="I130:M130" si="54">I131</f>
        <v>0</v>
      </c>
      <c r="J130" s="7">
        <f t="shared" si="54"/>
        <v>793.9</v>
      </c>
      <c r="K130" s="7">
        <f t="shared" si="54"/>
        <v>0</v>
      </c>
      <c r="L130" s="7">
        <f t="shared" si="54"/>
        <v>793.9</v>
      </c>
      <c r="M130" s="7">
        <f t="shared" si="54"/>
        <v>0</v>
      </c>
      <c r="N130" s="7">
        <v>793.9</v>
      </c>
      <c r="O130" s="7">
        <v>793.9</v>
      </c>
      <c r="P130" s="349">
        <v>793.9</v>
      </c>
      <c r="Q130" s="257">
        <v>100</v>
      </c>
    </row>
    <row r="131" spans="1:17" s="12" customFormat="1" ht="47.25">
      <c r="A131" s="8" t="s">
        <v>360</v>
      </c>
      <c r="B131" s="10" t="s">
        <v>501</v>
      </c>
      <c r="C131" s="10" t="s">
        <v>14</v>
      </c>
      <c r="D131" s="10" t="s">
        <v>26</v>
      </c>
      <c r="E131" s="34" t="s">
        <v>23</v>
      </c>
      <c r="F131" s="10" t="s">
        <v>359</v>
      </c>
      <c r="G131" s="11">
        <v>0</v>
      </c>
      <c r="H131" s="31">
        <v>793.9</v>
      </c>
      <c r="I131" s="7"/>
      <c r="J131" s="7">
        <f>H131+I131</f>
        <v>793.9</v>
      </c>
      <c r="K131" s="7"/>
      <c r="L131" s="7">
        <f>J131+K131</f>
        <v>793.9</v>
      </c>
      <c r="M131" s="7"/>
      <c r="N131" s="7">
        <v>793.9</v>
      </c>
      <c r="O131" s="7">
        <v>793.9</v>
      </c>
      <c r="P131" s="349">
        <v>793.9</v>
      </c>
      <c r="Q131" s="257">
        <v>100</v>
      </c>
    </row>
    <row r="132" spans="1:17" s="12" customFormat="1" ht="31.5">
      <c r="A132" s="8" t="s">
        <v>521</v>
      </c>
      <c r="B132" s="10" t="s">
        <v>501</v>
      </c>
      <c r="C132" s="10" t="s">
        <v>14</v>
      </c>
      <c r="D132" s="10" t="s">
        <v>26</v>
      </c>
      <c r="E132" s="34" t="s">
        <v>24</v>
      </c>
      <c r="F132" s="10"/>
      <c r="G132" s="11">
        <v>0</v>
      </c>
      <c r="H132" s="11">
        <v>8982.4</v>
      </c>
      <c r="I132" s="7">
        <f t="shared" ref="I132:M132" si="55">I133</f>
        <v>0</v>
      </c>
      <c r="J132" s="7">
        <f t="shared" si="55"/>
        <v>8982.4</v>
      </c>
      <c r="K132" s="7">
        <f t="shared" si="55"/>
        <v>0</v>
      </c>
      <c r="L132" s="7">
        <f t="shared" si="55"/>
        <v>8982.4</v>
      </c>
      <c r="M132" s="7">
        <f t="shared" si="55"/>
        <v>0</v>
      </c>
      <c r="N132" s="7">
        <v>8982.4</v>
      </c>
      <c r="O132" s="7">
        <v>8982.4</v>
      </c>
      <c r="P132" s="349">
        <v>8982.4</v>
      </c>
      <c r="Q132" s="257">
        <v>100</v>
      </c>
    </row>
    <row r="133" spans="1:17" s="12" customFormat="1" ht="47.25">
      <c r="A133" s="8" t="s">
        <v>360</v>
      </c>
      <c r="B133" s="10" t="s">
        <v>501</v>
      </c>
      <c r="C133" s="10" t="s">
        <v>14</v>
      </c>
      <c r="D133" s="10" t="s">
        <v>26</v>
      </c>
      <c r="E133" s="34" t="s">
        <v>24</v>
      </c>
      <c r="F133" s="10" t="s">
        <v>359</v>
      </c>
      <c r="G133" s="11">
        <v>0</v>
      </c>
      <c r="H133" s="31">
        <v>8982.4</v>
      </c>
      <c r="I133" s="7"/>
      <c r="J133" s="7">
        <f>H133+I133</f>
        <v>8982.4</v>
      </c>
      <c r="K133" s="7"/>
      <c r="L133" s="7">
        <f>J133+K133</f>
        <v>8982.4</v>
      </c>
      <c r="M133" s="7"/>
      <c r="N133" s="7">
        <v>8982.4</v>
      </c>
      <c r="O133" s="7">
        <v>8982.4</v>
      </c>
      <c r="P133" s="349">
        <v>8982.4</v>
      </c>
      <c r="Q133" s="257">
        <v>100</v>
      </c>
    </row>
    <row r="134" spans="1:17" s="12" customFormat="1">
      <c r="A134" s="8" t="s">
        <v>456</v>
      </c>
      <c r="B134" s="10" t="s">
        <v>501</v>
      </c>
      <c r="C134" s="10" t="s">
        <v>14</v>
      </c>
      <c r="D134" s="10" t="s">
        <v>26</v>
      </c>
      <c r="E134" s="34" t="s">
        <v>364</v>
      </c>
      <c r="F134" s="10"/>
      <c r="G134" s="11">
        <v>17000</v>
      </c>
      <c r="H134" s="11">
        <v>17000</v>
      </c>
      <c r="I134" s="7">
        <f t="shared" ref="I134:M134" si="56">I135</f>
        <v>908.4</v>
      </c>
      <c r="J134" s="7">
        <f t="shared" si="56"/>
        <v>17908.400000000001</v>
      </c>
      <c r="K134" s="7">
        <f t="shared" si="56"/>
        <v>374.6</v>
      </c>
      <c r="L134" s="7">
        <f t="shared" si="56"/>
        <v>18283</v>
      </c>
      <c r="M134" s="7">
        <f t="shared" si="56"/>
        <v>3500</v>
      </c>
      <c r="N134" s="7">
        <v>21783</v>
      </c>
      <c r="O134" s="7">
        <v>21783</v>
      </c>
      <c r="P134" s="349">
        <v>21770.799999999999</v>
      </c>
      <c r="Q134" s="257">
        <v>99.94</v>
      </c>
    </row>
    <row r="135" spans="1:17" s="12" customFormat="1" ht="47.25">
      <c r="A135" s="6" t="s">
        <v>881</v>
      </c>
      <c r="B135" s="10" t="s">
        <v>501</v>
      </c>
      <c r="C135" s="10" t="s">
        <v>14</v>
      </c>
      <c r="D135" s="10" t="s">
        <v>26</v>
      </c>
      <c r="E135" s="34" t="s">
        <v>739</v>
      </c>
      <c r="F135" s="10"/>
      <c r="G135" s="11">
        <v>17000</v>
      </c>
      <c r="H135" s="11">
        <v>17000</v>
      </c>
      <c r="I135" s="7">
        <f t="shared" ref="I135:M135" si="57">I136+I137+I139</f>
        <v>908.4</v>
      </c>
      <c r="J135" s="7">
        <f t="shared" si="57"/>
        <v>17908.400000000001</v>
      </c>
      <c r="K135" s="7">
        <f t="shared" si="57"/>
        <v>374.6</v>
      </c>
      <c r="L135" s="7">
        <f t="shared" si="57"/>
        <v>18283</v>
      </c>
      <c r="M135" s="7">
        <f t="shared" si="57"/>
        <v>3500</v>
      </c>
      <c r="N135" s="7">
        <v>21783</v>
      </c>
      <c r="O135" s="7">
        <v>21783</v>
      </c>
      <c r="P135" s="349">
        <v>21770.799999999999</v>
      </c>
      <c r="Q135" s="257">
        <v>99.94</v>
      </c>
    </row>
    <row r="136" spans="1:17" s="12" customFormat="1">
      <c r="A136" s="8" t="s">
        <v>648</v>
      </c>
      <c r="B136" s="10" t="s">
        <v>501</v>
      </c>
      <c r="C136" s="10" t="s">
        <v>14</v>
      </c>
      <c r="D136" s="10" t="s">
        <v>26</v>
      </c>
      <c r="E136" s="34" t="s">
        <v>739</v>
      </c>
      <c r="F136" s="10" t="s">
        <v>649</v>
      </c>
      <c r="G136" s="11">
        <v>17000</v>
      </c>
      <c r="H136" s="31">
        <v>17000</v>
      </c>
      <c r="I136" s="7"/>
      <c r="J136" s="7">
        <f>H136+I136</f>
        <v>17000</v>
      </c>
      <c r="K136" s="7">
        <v>374.6</v>
      </c>
      <c r="L136" s="7">
        <f>J136+K136</f>
        <v>17374.599999999999</v>
      </c>
      <c r="M136" s="7">
        <v>3500</v>
      </c>
      <c r="N136" s="7">
        <v>20874.599999999999</v>
      </c>
      <c r="O136" s="7">
        <v>20874.599999999999</v>
      </c>
      <c r="P136" s="349">
        <v>20874.599999999999</v>
      </c>
      <c r="Q136" s="257">
        <v>100</v>
      </c>
    </row>
    <row r="137" spans="1:17" s="12" customFormat="1" ht="94.5">
      <c r="A137" s="35" t="s">
        <v>1042</v>
      </c>
      <c r="B137" s="10" t="s">
        <v>501</v>
      </c>
      <c r="C137" s="10" t="s">
        <v>14</v>
      </c>
      <c r="D137" s="10" t="s">
        <v>26</v>
      </c>
      <c r="E137" s="34" t="s">
        <v>885</v>
      </c>
      <c r="F137" s="10"/>
      <c r="G137" s="11"/>
      <c r="H137" s="31">
        <f t="shared" ref="H137:M137" si="58">H138</f>
        <v>0</v>
      </c>
      <c r="I137" s="31">
        <f t="shared" si="58"/>
        <v>792.4</v>
      </c>
      <c r="J137" s="31">
        <f t="shared" si="58"/>
        <v>792.4</v>
      </c>
      <c r="K137" s="31">
        <f t="shared" si="58"/>
        <v>0</v>
      </c>
      <c r="L137" s="31">
        <f t="shared" si="58"/>
        <v>792.4</v>
      </c>
      <c r="M137" s="31">
        <f t="shared" si="58"/>
        <v>0</v>
      </c>
      <c r="N137" s="31">
        <v>792.4</v>
      </c>
      <c r="O137" s="36">
        <v>792.4</v>
      </c>
      <c r="P137" s="350">
        <v>792.4</v>
      </c>
      <c r="Q137" s="257">
        <v>100</v>
      </c>
    </row>
    <row r="138" spans="1:17" s="12" customFormat="1">
      <c r="A138" s="8" t="s">
        <v>362</v>
      </c>
      <c r="B138" s="10" t="s">
        <v>501</v>
      </c>
      <c r="C138" s="10" t="s">
        <v>14</v>
      </c>
      <c r="D138" s="10" t="s">
        <v>26</v>
      </c>
      <c r="E138" s="34" t="s">
        <v>885</v>
      </c>
      <c r="F138" s="10" t="s">
        <v>334</v>
      </c>
      <c r="G138" s="11"/>
      <c r="H138" s="31"/>
      <c r="I138" s="7">
        <v>792.4</v>
      </c>
      <c r="J138" s="7">
        <f>H138+I138</f>
        <v>792.4</v>
      </c>
      <c r="K138" s="7"/>
      <c r="L138" s="7">
        <f>J138+K138</f>
        <v>792.4</v>
      </c>
      <c r="M138" s="7"/>
      <c r="N138" s="7">
        <v>792.4</v>
      </c>
      <c r="O138" s="7">
        <v>792.4</v>
      </c>
      <c r="P138" s="349">
        <v>792.4</v>
      </c>
      <c r="Q138" s="257">
        <v>100</v>
      </c>
    </row>
    <row r="139" spans="1:17" s="12" customFormat="1" ht="126">
      <c r="A139" s="35" t="s">
        <v>894</v>
      </c>
      <c r="B139" s="10" t="s">
        <v>501</v>
      </c>
      <c r="C139" s="10" t="s">
        <v>14</v>
      </c>
      <c r="D139" s="10" t="s">
        <v>26</v>
      </c>
      <c r="E139" s="34" t="s">
        <v>890</v>
      </c>
      <c r="F139" s="10"/>
      <c r="G139" s="11"/>
      <c r="H139" s="31">
        <f t="shared" ref="H139:M139" si="59">H140</f>
        <v>0</v>
      </c>
      <c r="I139" s="7">
        <f t="shared" si="59"/>
        <v>116</v>
      </c>
      <c r="J139" s="7">
        <f t="shared" si="59"/>
        <v>116</v>
      </c>
      <c r="K139" s="7">
        <f t="shared" si="59"/>
        <v>0</v>
      </c>
      <c r="L139" s="7">
        <f t="shared" si="59"/>
        <v>116</v>
      </c>
      <c r="M139" s="7">
        <f t="shared" si="59"/>
        <v>0</v>
      </c>
      <c r="N139" s="7">
        <v>116</v>
      </c>
      <c r="O139" s="7">
        <v>116</v>
      </c>
      <c r="P139" s="349">
        <v>103.8</v>
      </c>
      <c r="Q139" s="257">
        <v>89.48</v>
      </c>
    </row>
    <row r="140" spans="1:17" s="12" customFormat="1">
      <c r="A140" s="8" t="s">
        <v>362</v>
      </c>
      <c r="B140" s="10" t="s">
        <v>501</v>
      </c>
      <c r="C140" s="10" t="s">
        <v>14</v>
      </c>
      <c r="D140" s="10" t="s">
        <v>26</v>
      </c>
      <c r="E140" s="34" t="s">
        <v>890</v>
      </c>
      <c r="F140" s="10" t="s">
        <v>334</v>
      </c>
      <c r="G140" s="11"/>
      <c r="H140" s="31"/>
      <c r="I140" s="7">
        <v>116</v>
      </c>
      <c r="J140" s="7">
        <f>H140+I140</f>
        <v>116</v>
      </c>
      <c r="K140" s="7"/>
      <c r="L140" s="7">
        <f>J140+K140</f>
        <v>116</v>
      </c>
      <c r="M140" s="7"/>
      <c r="N140" s="7">
        <v>116</v>
      </c>
      <c r="O140" s="7">
        <v>116</v>
      </c>
      <c r="P140" s="349">
        <v>103.8</v>
      </c>
      <c r="Q140" s="257">
        <v>89.48</v>
      </c>
    </row>
    <row r="141" spans="1:17" s="30" customFormat="1">
      <c r="A141" s="26" t="s">
        <v>27</v>
      </c>
      <c r="B141" s="27" t="s">
        <v>501</v>
      </c>
      <c r="C141" s="27" t="s">
        <v>14</v>
      </c>
      <c r="D141" s="27" t="s">
        <v>28</v>
      </c>
      <c r="E141" s="27"/>
      <c r="F141" s="27"/>
      <c r="G141" s="28">
        <v>-9709.9</v>
      </c>
      <c r="H141" s="28">
        <v>9229.2000000000007</v>
      </c>
      <c r="I141" s="29" t="e">
        <f t="shared" ref="I141:M141" si="60">I142</f>
        <v>#REF!</v>
      </c>
      <c r="J141" s="29" t="e">
        <f t="shared" si="60"/>
        <v>#REF!</v>
      </c>
      <c r="K141" s="29" t="e">
        <f t="shared" si="60"/>
        <v>#REF!</v>
      </c>
      <c r="L141" s="29" t="e">
        <f t="shared" si="60"/>
        <v>#REF!</v>
      </c>
      <c r="M141" s="29" t="e">
        <f t="shared" si="60"/>
        <v>#REF!</v>
      </c>
      <c r="N141" s="29">
        <v>6450.3</v>
      </c>
      <c r="O141" s="29">
        <v>6450.3</v>
      </c>
      <c r="P141" s="348">
        <v>6450.3</v>
      </c>
      <c r="Q141" s="256">
        <v>100</v>
      </c>
    </row>
    <row r="142" spans="1:17" s="12" customFormat="1">
      <c r="A142" s="8" t="s">
        <v>17</v>
      </c>
      <c r="B142" s="10" t="s">
        <v>501</v>
      </c>
      <c r="C142" s="10" t="s">
        <v>14</v>
      </c>
      <c r="D142" s="10" t="s">
        <v>28</v>
      </c>
      <c r="E142" s="34" t="s">
        <v>18</v>
      </c>
      <c r="F142" s="10"/>
      <c r="G142" s="11">
        <v>-9709.9</v>
      </c>
      <c r="H142" s="11">
        <v>9229.2000000000007</v>
      </c>
      <c r="I142" s="7" t="e">
        <f>#REF!+I143</f>
        <v>#REF!</v>
      </c>
      <c r="J142" s="7" t="e">
        <f>#REF!+J143</f>
        <v>#REF!</v>
      </c>
      <c r="K142" s="7" t="e">
        <f>#REF!+K143</f>
        <v>#REF!</v>
      </c>
      <c r="L142" s="7" t="e">
        <f>#REF!+L143</f>
        <v>#REF!</v>
      </c>
      <c r="M142" s="7" t="e">
        <f>#REF!+M143</f>
        <v>#REF!</v>
      </c>
      <c r="N142" s="7">
        <v>6450.3</v>
      </c>
      <c r="O142" s="7">
        <v>6450.3</v>
      </c>
      <c r="P142" s="349">
        <v>6450.3</v>
      </c>
      <c r="Q142" s="257">
        <v>100</v>
      </c>
    </row>
    <row r="143" spans="1:17" s="12" customFormat="1" ht="31.5">
      <c r="A143" s="8" t="s">
        <v>21</v>
      </c>
      <c r="B143" s="10" t="s">
        <v>501</v>
      </c>
      <c r="C143" s="10" t="s">
        <v>14</v>
      </c>
      <c r="D143" s="10" t="s">
        <v>28</v>
      </c>
      <c r="E143" s="34" t="s">
        <v>22</v>
      </c>
      <c r="F143" s="10"/>
      <c r="G143" s="11">
        <v>0</v>
      </c>
      <c r="H143" s="11">
        <v>6450.3</v>
      </c>
      <c r="I143" s="7">
        <f t="shared" ref="I143:M143" si="61">I144+I146</f>
        <v>0</v>
      </c>
      <c r="J143" s="7">
        <f t="shared" si="61"/>
        <v>6450.3</v>
      </c>
      <c r="K143" s="7">
        <f t="shared" si="61"/>
        <v>0</v>
      </c>
      <c r="L143" s="7">
        <f t="shared" si="61"/>
        <v>6450.3</v>
      </c>
      <c r="M143" s="7">
        <f t="shared" si="61"/>
        <v>0</v>
      </c>
      <c r="N143" s="7">
        <v>6450.3</v>
      </c>
      <c r="O143" s="7">
        <v>6450.3</v>
      </c>
      <c r="P143" s="349">
        <v>6450.3</v>
      </c>
      <c r="Q143" s="257">
        <v>100</v>
      </c>
    </row>
    <row r="144" spans="1:17" s="12" customFormat="1" ht="31.5">
      <c r="A144" s="8" t="s">
        <v>520</v>
      </c>
      <c r="B144" s="10" t="s">
        <v>501</v>
      </c>
      <c r="C144" s="10" t="s">
        <v>14</v>
      </c>
      <c r="D144" s="10" t="s">
        <v>28</v>
      </c>
      <c r="E144" s="34" t="s">
        <v>23</v>
      </c>
      <c r="F144" s="10"/>
      <c r="G144" s="11">
        <v>0</v>
      </c>
      <c r="H144" s="11">
        <v>5477.8</v>
      </c>
      <c r="I144" s="7">
        <f t="shared" ref="I144:M144" si="62">I145</f>
        <v>0</v>
      </c>
      <c r="J144" s="7">
        <f t="shared" si="62"/>
        <v>5477.8</v>
      </c>
      <c r="K144" s="7">
        <f t="shared" si="62"/>
        <v>0</v>
      </c>
      <c r="L144" s="7">
        <f t="shared" si="62"/>
        <v>5477.8</v>
      </c>
      <c r="M144" s="7">
        <f t="shared" si="62"/>
        <v>0</v>
      </c>
      <c r="N144" s="7">
        <v>5477.8</v>
      </c>
      <c r="O144" s="7">
        <v>5477.8</v>
      </c>
      <c r="P144" s="349">
        <v>5477.8</v>
      </c>
      <c r="Q144" s="257">
        <v>100</v>
      </c>
    </row>
    <row r="145" spans="1:17" s="12" customFormat="1" ht="47.25">
      <c r="A145" s="8" t="s">
        <v>360</v>
      </c>
      <c r="B145" s="10" t="s">
        <v>501</v>
      </c>
      <c r="C145" s="10" t="s">
        <v>14</v>
      </c>
      <c r="D145" s="10" t="s">
        <v>28</v>
      </c>
      <c r="E145" s="34" t="s">
        <v>23</v>
      </c>
      <c r="F145" s="10" t="s">
        <v>359</v>
      </c>
      <c r="G145" s="11">
        <v>0</v>
      </c>
      <c r="H145" s="31">
        <v>5477.8</v>
      </c>
      <c r="I145" s="7"/>
      <c r="J145" s="7">
        <f>H145+I145</f>
        <v>5477.8</v>
      </c>
      <c r="K145" s="7"/>
      <c r="L145" s="7">
        <f>J145+K145</f>
        <v>5477.8</v>
      </c>
      <c r="M145" s="7"/>
      <c r="N145" s="7">
        <v>5477.8</v>
      </c>
      <c r="O145" s="7">
        <v>5477.8</v>
      </c>
      <c r="P145" s="349">
        <v>5477.8</v>
      </c>
      <c r="Q145" s="257">
        <v>100</v>
      </c>
    </row>
    <row r="146" spans="1:17" s="12" customFormat="1" ht="31.5">
      <c r="A146" s="8" t="s">
        <v>530</v>
      </c>
      <c r="B146" s="10" t="s">
        <v>501</v>
      </c>
      <c r="C146" s="10" t="s">
        <v>14</v>
      </c>
      <c r="D146" s="10" t="s">
        <v>28</v>
      </c>
      <c r="E146" s="34" t="s">
        <v>24</v>
      </c>
      <c r="F146" s="10"/>
      <c r="G146" s="11">
        <v>0</v>
      </c>
      <c r="H146" s="11">
        <v>972.5</v>
      </c>
      <c r="I146" s="7">
        <f t="shared" ref="I146:M146" si="63">I147</f>
        <v>0</v>
      </c>
      <c r="J146" s="7">
        <f t="shared" si="63"/>
        <v>972.5</v>
      </c>
      <c r="K146" s="7">
        <f t="shared" si="63"/>
        <v>0</v>
      </c>
      <c r="L146" s="7">
        <f t="shared" si="63"/>
        <v>972.5</v>
      </c>
      <c r="M146" s="7">
        <f t="shared" si="63"/>
        <v>0</v>
      </c>
      <c r="N146" s="7">
        <v>972.5</v>
      </c>
      <c r="O146" s="7">
        <v>972.5</v>
      </c>
      <c r="P146" s="349">
        <v>972.5</v>
      </c>
      <c r="Q146" s="257">
        <v>100</v>
      </c>
    </row>
    <row r="147" spans="1:17" s="12" customFormat="1" ht="47.25">
      <c r="A147" s="8" t="s">
        <v>360</v>
      </c>
      <c r="B147" s="10" t="s">
        <v>501</v>
      </c>
      <c r="C147" s="10" t="s">
        <v>14</v>
      </c>
      <c r="D147" s="10" t="s">
        <v>28</v>
      </c>
      <c r="E147" s="34" t="s">
        <v>24</v>
      </c>
      <c r="F147" s="10" t="s">
        <v>359</v>
      </c>
      <c r="G147" s="11">
        <v>0</v>
      </c>
      <c r="H147" s="31">
        <v>972.5</v>
      </c>
      <c r="I147" s="7"/>
      <c r="J147" s="7">
        <f>H147+I147</f>
        <v>972.5</v>
      </c>
      <c r="K147" s="7"/>
      <c r="L147" s="7">
        <f>J147+K147</f>
        <v>972.5</v>
      </c>
      <c r="M147" s="7"/>
      <c r="N147" s="7">
        <v>972.5</v>
      </c>
      <c r="O147" s="7">
        <v>972.5</v>
      </c>
      <c r="P147" s="349">
        <v>972.5</v>
      </c>
      <c r="Q147" s="257">
        <v>100</v>
      </c>
    </row>
    <row r="148" spans="1:17" s="30" customFormat="1">
      <c r="A148" s="26" t="s">
        <v>29</v>
      </c>
      <c r="B148" s="27" t="s">
        <v>501</v>
      </c>
      <c r="C148" s="27" t="s">
        <v>14</v>
      </c>
      <c r="D148" s="27" t="s">
        <v>11</v>
      </c>
      <c r="E148" s="27"/>
      <c r="F148" s="27"/>
      <c r="G148" s="28">
        <v>-45748.7</v>
      </c>
      <c r="H148" s="28">
        <v>15737</v>
      </c>
      <c r="I148" s="29" t="e">
        <f t="shared" ref="I148:M151" si="64">I149</f>
        <v>#REF!</v>
      </c>
      <c r="J148" s="29">
        <f t="shared" si="64"/>
        <v>15737</v>
      </c>
      <c r="K148" s="29">
        <f t="shared" si="64"/>
        <v>3088.5</v>
      </c>
      <c r="L148" s="29">
        <f t="shared" si="64"/>
        <v>18825.5</v>
      </c>
      <c r="M148" s="29">
        <f t="shared" si="64"/>
        <v>0</v>
      </c>
      <c r="N148" s="29">
        <v>18825.5</v>
      </c>
      <c r="O148" s="29">
        <v>18825.5</v>
      </c>
      <c r="P148" s="348">
        <v>18825.5</v>
      </c>
      <c r="Q148" s="256">
        <v>100</v>
      </c>
    </row>
    <row r="149" spans="1:17" s="12" customFormat="1">
      <c r="A149" s="8" t="s">
        <v>17</v>
      </c>
      <c r="B149" s="10" t="s">
        <v>501</v>
      </c>
      <c r="C149" s="10" t="s">
        <v>14</v>
      </c>
      <c r="D149" s="10" t="s">
        <v>11</v>
      </c>
      <c r="E149" s="10" t="s">
        <v>18</v>
      </c>
      <c r="F149" s="10"/>
      <c r="G149" s="11">
        <v>-45748.7</v>
      </c>
      <c r="H149" s="11">
        <v>15737</v>
      </c>
      <c r="I149" s="7" t="e">
        <f t="shared" si="64"/>
        <v>#REF!</v>
      </c>
      <c r="J149" s="7">
        <f t="shared" si="64"/>
        <v>15737</v>
      </c>
      <c r="K149" s="7">
        <f t="shared" si="64"/>
        <v>3088.5</v>
      </c>
      <c r="L149" s="7">
        <f t="shared" si="64"/>
        <v>18825.5</v>
      </c>
      <c r="M149" s="7">
        <f t="shared" si="64"/>
        <v>0</v>
      </c>
      <c r="N149" s="7">
        <v>18825.5</v>
      </c>
      <c r="O149" s="7">
        <v>18825.5</v>
      </c>
      <c r="P149" s="349">
        <v>18825.5</v>
      </c>
      <c r="Q149" s="257">
        <v>100</v>
      </c>
    </row>
    <row r="150" spans="1:17" s="12" customFormat="1" ht="63">
      <c r="A150" s="6" t="s">
        <v>912</v>
      </c>
      <c r="B150" s="10" t="s">
        <v>501</v>
      </c>
      <c r="C150" s="10" t="s">
        <v>14</v>
      </c>
      <c r="D150" s="10" t="s">
        <v>11</v>
      </c>
      <c r="E150" s="10" t="s">
        <v>19</v>
      </c>
      <c r="F150" s="10"/>
      <c r="G150" s="11">
        <v>-45748.7</v>
      </c>
      <c r="H150" s="11">
        <v>15737</v>
      </c>
      <c r="I150" s="7" t="e">
        <f>#REF!+#REF!+#REF!+#REF!+#REF!+#REF!+#REF!+#REF!+#REF!+I151</f>
        <v>#REF!</v>
      </c>
      <c r="J150" s="7">
        <f t="shared" si="64"/>
        <v>15737</v>
      </c>
      <c r="K150" s="7">
        <f t="shared" si="64"/>
        <v>3088.5</v>
      </c>
      <c r="L150" s="7">
        <f t="shared" si="64"/>
        <v>18825.5</v>
      </c>
      <c r="M150" s="7">
        <f t="shared" si="64"/>
        <v>0</v>
      </c>
      <c r="N150" s="7">
        <v>18825.5</v>
      </c>
      <c r="O150" s="7">
        <v>18825.5</v>
      </c>
      <c r="P150" s="349">
        <v>18825.5</v>
      </c>
      <c r="Q150" s="257">
        <v>100</v>
      </c>
    </row>
    <row r="151" spans="1:17" s="12" customFormat="1" ht="47.25">
      <c r="A151" s="8" t="s">
        <v>522</v>
      </c>
      <c r="B151" s="10" t="s">
        <v>501</v>
      </c>
      <c r="C151" s="10" t="s">
        <v>14</v>
      </c>
      <c r="D151" s="10" t="s">
        <v>11</v>
      </c>
      <c r="E151" s="10" t="s">
        <v>410</v>
      </c>
      <c r="F151" s="10"/>
      <c r="G151" s="11">
        <v>0</v>
      </c>
      <c r="H151" s="11">
        <v>15737</v>
      </c>
      <c r="I151" s="7">
        <f>I152</f>
        <v>0</v>
      </c>
      <c r="J151" s="7">
        <f t="shared" si="64"/>
        <v>15737</v>
      </c>
      <c r="K151" s="7">
        <f t="shared" si="64"/>
        <v>3088.5</v>
      </c>
      <c r="L151" s="7">
        <f t="shared" si="64"/>
        <v>18825.5</v>
      </c>
      <c r="M151" s="7">
        <f t="shared" si="64"/>
        <v>0</v>
      </c>
      <c r="N151" s="7">
        <v>18825.5</v>
      </c>
      <c r="O151" s="7">
        <v>18825.5</v>
      </c>
      <c r="P151" s="349">
        <v>18825.5</v>
      </c>
      <c r="Q151" s="257">
        <v>100</v>
      </c>
    </row>
    <row r="152" spans="1:17" s="12" customFormat="1" ht="47.25">
      <c r="A152" s="8" t="s">
        <v>360</v>
      </c>
      <c r="B152" s="10" t="s">
        <v>501</v>
      </c>
      <c r="C152" s="10" t="s">
        <v>14</v>
      </c>
      <c r="D152" s="10" t="s">
        <v>11</v>
      </c>
      <c r="E152" s="10" t="s">
        <v>410</v>
      </c>
      <c r="F152" s="10" t="s">
        <v>359</v>
      </c>
      <c r="G152" s="11">
        <v>0</v>
      </c>
      <c r="H152" s="31">
        <v>15737</v>
      </c>
      <c r="I152" s="7"/>
      <c r="J152" s="7">
        <f>H152+I152</f>
        <v>15737</v>
      </c>
      <c r="K152" s="7">
        <f>888.5+2200</f>
        <v>3088.5</v>
      </c>
      <c r="L152" s="7">
        <f>J152+K152</f>
        <v>18825.5</v>
      </c>
      <c r="M152" s="7"/>
      <c r="N152" s="7">
        <v>18825.5</v>
      </c>
      <c r="O152" s="7">
        <v>18825.5</v>
      </c>
      <c r="P152" s="349">
        <v>18825.5</v>
      </c>
      <c r="Q152" s="257">
        <v>100</v>
      </c>
    </row>
    <row r="153" spans="1:17" s="30" customFormat="1">
      <c r="A153" s="26" t="s">
        <v>30</v>
      </c>
      <c r="B153" s="27" t="s">
        <v>501</v>
      </c>
      <c r="C153" s="27" t="s">
        <v>14</v>
      </c>
      <c r="D153" s="27" t="s">
        <v>31</v>
      </c>
      <c r="E153" s="27"/>
      <c r="F153" s="27"/>
      <c r="G153" s="28">
        <v>0</v>
      </c>
      <c r="H153" s="28">
        <v>43111.3</v>
      </c>
      <c r="I153" s="29">
        <f>I157</f>
        <v>10000</v>
      </c>
      <c r="J153" s="29">
        <f>J157</f>
        <v>53111.3</v>
      </c>
      <c r="K153" s="29">
        <f>K157+K154</f>
        <v>13320</v>
      </c>
      <c r="L153" s="29">
        <f>L157+L154</f>
        <v>66431.3</v>
      </c>
      <c r="M153" s="29">
        <f>M157+M154</f>
        <v>0</v>
      </c>
      <c r="N153" s="29">
        <v>66431.3</v>
      </c>
      <c r="O153" s="29">
        <v>66431.3</v>
      </c>
      <c r="P153" s="348">
        <v>66431.3</v>
      </c>
      <c r="Q153" s="256">
        <v>100</v>
      </c>
    </row>
    <row r="154" spans="1:17" s="30" customFormat="1">
      <c r="A154" s="8" t="s">
        <v>143</v>
      </c>
      <c r="B154" s="10" t="s">
        <v>501</v>
      </c>
      <c r="C154" s="10" t="s">
        <v>14</v>
      </c>
      <c r="D154" s="10" t="s">
        <v>31</v>
      </c>
      <c r="E154" s="10" t="s">
        <v>145</v>
      </c>
      <c r="F154" s="27"/>
      <c r="G154" s="28"/>
      <c r="H154" s="28"/>
      <c r="I154" s="29"/>
      <c r="J154" s="29"/>
      <c r="K154" s="7">
        <f t="shared" ref="K154:M155" si="65">K155</f>
        <v>11650</v>
      </c>
      <c r="L154" s="7">
        <f t="shared" si="65"/>
        <v>11650</v>
      </c>
      <c r="M154" s="7">
        <f t="shared" si="65"/>
        <v>0</v>
      </c>
      <c r="N154" s="7">
        <v>11650</v>
      </c>
      <c r="O154" s="7">
        <v>11650</v>
      </c>
      <c r="P154" s="349">
        <v>11650</v>
      </c>
      <c r="Q154" s="257">
        <v>100</v>
      </c>
    </row>
    <row r="155" spans="1:17" s="30" customFormat="1">
      <c r="A155" s="8" t="s">
        <v>917</v>
      </c>
      <c r="B155" s="10" t="s">
        <v>501</v>
      </c>
      <c r="C155" s="10" t="s">
        <v>14</v>
      </c>
      <c r="D155" s="10" t="s">
        <v>31</v>
      </c>
      <c r="E155" s="10" t="s">
        <v>916</v>
      </c>
      <c r="F155" s="27"/>
      <c r="G155" s="28"/>
      <c r="H155" s="28"/>
      <c r="I155" s="29"/>
      <c r="J155" s="29"/>
      <c r="K155" s="7">
        <f t="shared" si="65"/>
        <v>11650</v>
      </c>
      <c r="L155" s="7">
        <f t="shared" si="65"/>
        <v>11650</v>
      </c>
      <c r="M155" s="7">
        <f t="shared" si="65"/>
        <v>0</v>
      </c>
      <c r="N155" s="7">
        <v>11650</v>
      </c>
      <c r="O155" s="7">
        <v>11650</v>
      </c>
      <c r="P155" s="349">
        <v>11650</v>
      </c>
      <c r="Q155" s="257">
        <v>100</v>
      </c>
    </row>
    <row r="156" spans="1:17" s="30" customFormat="1">
      <c r="A156" s="8" t="s">
        <v>373</v>
      </c>
      <c r="B156" s="10" t="s">
        <v>501</v>
      </c>
      <c r="C156" s="10" t="s">
        <v>14</v>
      </c>
      <c r="D156" s="10" t="s">
        <v>31</v>
      </c>
      <c r="E156" s="10" t="s">
        <v>916</v>
      </c>
      <c r="F156" s="10" t="s">
        <v>372</v>
      </c>
      <c r="G156" s="28"/>
      <c r="H156" s="28"/>
      <c r="I156" s="29"/>
      <c r="J156" s="29"/>
      <c r="K156" s="7">
        <v>11650</v>
      </c>
      <c r="L156" s="7">
        <f>K156</f>
        <v>11650</v>
      </c>
      <c r="M156" s="7"/>
      <c r="N156" s="7">
        <v>11650</v>
      </c>
      <c r="O156" s="7">
        <v>11650</v>
      </c>
      <c r="P156" s="349">
        <v>11650</v>
      </c>
      <c r="Q156" s="257">
        <v>100</v>
      </c>
    </row>
    <row r="157" spans="1:17" s="12" customFormat="1">
      <c r="A157" s="8" t="s">
        <v>17</v>
      </c>
      <c r="B157" s="10" t="s">
        <v>501</v>
      </c>
      <c r="C157" s="10" t="s">
        <v>14</v>
      </c>
      <c r="D157" s="10" t="s">
        <v>31</v>
      </c>
      <c r="E157" s="10" t="s">
        <v>18</v>
      </c>
      <c r="F157" s="10"/>
      <c r="G157" s="11">
        <v>0</v>
      </c>
      <c r="H157" s="11">
        <v>43111.3</v>
      </c>
      <c r="I157" s="7">
        <f>I160+I158</f>
        <v>10000</v>
      </c>
      <c r="J157" s="7">
        <f>J160+J158</f>
        <v>53111.3</v>
      </c>
      <c r="K157" s="7">
        <f>K160+K158</f>
        <v>1670</v>
      </c>
      <c r="L157" s="7">
        <f>L160+L158</f>
        <v>54781.3</v>
      </c>
      <c r="M157" s="7">
        <f>M160+M158</f>
        <v>0</v>
      </c>
      <c r="N157" s="7">
        <v>54781.3</v>
      </c>
      <c r="O157" s="7">
        <v>54781.3</v>
      </c>
      <c r="P157" s="349">
        <v>54781.3</v>
      </c>
      <c r="Q157" s="257">
        <v>100</v>
      </c>
    </row>
    <row r="158" spans="1:17" s="12" customFormat="1" ht="47.25">
      <c r="A158" s="9" t="s">
        <v>876</v>
      </c>
      <c r="B158" s="10" t="s">
        <v>501</v>
      </c>
      <c r="C158" s="10" t="s">
        <v>14</v>
      </c>
      <c r="D158" s="10" t="s">
        <v>31</v>
      </c>
      <c r="E158" s="10" t="s">
        <v>625</v>
      </c>
      <c r="F158" s="10"/>
      <c r="G158" s="11"/>
      <c r="H158" s="11">
        <f t="shared" ref="H158:M158" si="66">H159</f>
        <v>0</v>
      </c>
      <c r="I158" s="11">
        <f t="shared" si="66"/>
        <v>10000</v>
      </c>
      <c r="J158" s="11">
        <f t="shared" si="66"/>
        <v>10000</v>
      </c>
      <c r="K158" s="11">
        <f t="shared" si="66"/>
        <v>0</v>
      </c>
      <c r="L158" s="11">
        <f t="shared" si="66"/>
        <v>10000</v>
      </c>
      <c r="M158" s="11">
        <f t="shared" si="66"/>
        <v>0</v>
      </c>
      <c r="N158" s="7">
        <v>10000</v>
      </c>
      <c r="O158" s="7">
        <v>10000</v>
      </c>
      <c r="P158" s="349">
        <v>10000</v>
      </c>
      <c r="Q158" s="257">
        <v>100</v>
      </c>
    </row>
    <row r="159" spans="1:17" s="12" customFormat="1">
      <c r="A159" s="8" t="s">
        <v>373</v>
      </c>
      <c r="B159" s="10" t="s">
        <v>501</v>
      </c>
      <c r="C159" s="10" t="s">
        <v>14</v>
      </c>
      <c r="D159" s="10" t="s">
        <v>31</v>
      </c>
      <c r="E159" s="10" t="s">
        <v>625</v>
      </c>
      <c r="F159" s="10" t="s">
        <v>372</v>
      </c>
      <c r="G159" s="11"/>
      <c r="H159" s="11"/>
      <c r="I159" s="7">
        <v>10000</v>
      </c>
      <c r="J159" s="7">
        <f>H159+I159</f>
        <v>10000</v>
      </c>
      <c r="K159" s="7"/>
      <c r="L159" s="7">
        <f>J159+K159</f>
        <v>10000</v>
      </c>
      <c r="M159" s="7"/>
      <c r="N159" s="7">
        <v>10000</v>
      </c>
      <c r="O159" s="7">
        <v>10000</v>
      </c>
      <c r="P159" s="349">
        <v>10000</v>
      </c>
      <c r="Q159" s="257">
        <v>100</v>
      </c>
    </row>
    <row r="160" spans="1:17" s="12" customFormat="1" ht="31.5">
      <c r="A160" s="8" t="s">
        <v>21</v>
      </c>
      <c r="B160" s="10" t="s">
        <v>501</v>
      </c>
      <c r="C160" s="10" t="s">
        <v>14</v>
      </c>
      <c r="D160" s="10" t="s">
        <v>31</v>
      </c>
      <c r="E160" s="34" t="s">
        <v>22</v>
      </c>
      <c r="F160" s="10"/>
      <c r="G160" s="11">
        <v>0</v>
      </c>
      <c r="H160" s="11">
        <v>43111.3</v>
      </c>
      <c r="I160" s="7">
        <f t="shared" ref="I160:M160" si="67">I161</f>
        <v>0</v>
      </c>
      <c r="J160" s="7">
        <f t="shared" si="67"/>
        <v>43111.3</v>
      </c>
      <c r="K160" s="7">
        <f t="shared" si="67"/>
        <v>1670</v>
      </c>
      <c r="L160" s="7">
        <f t="shared" si="67"/>
        <v>44781.3</v>
      </c>
      <c r="M160" s="7">
        <f t="shared" si="67"/>
        <v>0</v>
      </c>
      <c r="N160" s="7">
        <v>44781.3</v>
      </c>
      <c r="O160" s="7">
        <v>44781.3</v>
      </c>
      <c r="P160" s="349">
        <v>44781.3</v>
      </c>
      <c r="Q160" s="257">
        <v>100</v>
      </c>
    </row>
    <row r="161" spans="1:17" s="12" customFormat="1" ht="31.5">
      <c r="A161" s="8" t="s">
        <v>523</v>
      </c>
      <c r="B161" s="10" t="s">
        <v>501</v>
      </c>
      <c r="C161" s="10" t="s">
        <v>14</v>
      </c>
      <c r="D161" s="10" t="s">
        <v>31</v>
      </c>
      <c r="E161" s="34" t="s">
        <v>32</v>
      </c>
      <c r="F161" s="10"/>
      <c r="G161" s="11">
        <v>0</v>
      </c>
      <c r="H161" s="11">
        <v>43111.3</v>
      </c>
      <c r="I161" s="7">
        <f>I162</f>
        <v>0</v>
      </c>
      <c r="J161" s="7">
        <f t="shared" ref="J161:M161" si="68">J162+J163</f>
        <v>43111.3</v>
      </c>
      <c r="K161" s="7">
        <f t="shared" si="68"/>
        <v>1670</v>
      </c>
      <c r="L161" s="7">
        <f t="shared" si="68"/>
        <v>44781.3</v>
      </c>
      <c r="M161" s="7">
        <f t="shared" si="68"/>
        <v>0</v>
      </c>
      <c r="N161" s="7">
        <v>44781.3</v>
      </c>
      <c r="O161" s="7">
        <v>44781.3</v>
      </c>
      <c r="P161" s="349">
        <v>44781.3</v>
      </c>
      <c r="Q161" s="257">
        <v>100</v>
      </c>
    </row>
    <row r="162" spans="1:17" s="12" customFormat="1" ht="47.25">
      <c r="A162" s="8" t="s">
        <v>360</v>
      </c>
      <c r="B162" s="10" t="s">
        <v>501</v>
      </c>
      <c r="C162" s="10" t="s">
        <v>14</v>
      </c>
      <c r="D162" s="10" t="s">
        <v>31</v>
      </c>
      <c r="E162" s="34" t="s">
        <v>32</v>
      </c>
      <c r="F162" s="10" t="s">
        <v>359</v>
      </c>
      <c r="G162" s="11">
        <v>0</v>
      </c>
      <c r="H162" s="31">
        <v>43111.3</v>
      </c>
      <c r="I162" s="7"/>
      <c r="J162" s="7">
        <f>H162+I162</f>
        <v>43111.3</v>
      </c>
      <c r="K162" s="7">
        <f>-10319.9+1670+5319.9</f>
        <v>-3330</v>
      </c>
      <c r="L162" s="7">
        <f>J162+K162</f>
        <v>39781.300000000003</v>
      </c>
      <c r="M162" s="7"/>
      <c r="N162" s="7">
        <v>39781.300000000003</v>
      </c>
      <c r="O162" s="7">
        <v>39781.300000000003</v>
      </c>
      <c r="P162" s="349">
        <v>39781.300000000003</v>
      </c>
      <c r="Q162" s="257">
        <v>100</v>
      </c>
    </row>
    <row r="163" spans="1:17" s="12" customFormat="1">
      <c r="A163" s="8" t="s">
        <v>373</v>
      </c>
      <c r="B163" s="10" t="s">
        <v>501</v>
      </c>
      <c r="C163" s="10" t="s">
        <v>14</v>
      </c>
      <c r="D163" s="10" t="s">
        <v>31</v>
      </c>
      <c r="E163" s="34" t="s">
        <v>32</v>
      </c>
      <c r="F163" s="10" t="s">
        <v>372</v>
      </c>
      <c r="G163" s="11"/>
      <c r="H163" s="31"/>
      <c r="I163" s="7"/>
      <c r="J163" s="7"/>
      <c r="K163" s="7">
        <f>10319.9-5319.9</f>
        <v>5000</v>
      </c>
      <c r="L163" s="7">
        <f>J163+K163</f>
        <v>5000</v>
      </c>
      <c r="M163" s="7"/>
      <c r="N163" s="7">
        <v>5000</v>
      </c>
      <c r="O163" s="7">
        <v>5000</v>
      </c>
      <c r="P163" s="349">
        <v>5000</v>
      </c>
      <c r="Q163" s="257">
        <v>100</v>
      </c>
    </row>
    <row r="164" spans="1:17" s="30" customFormat="1" ht="31.5">
      <c r="A164" s="26" t="s">
        <v>33</v>
      </c>
      <c r="B164" s="27" t="s">
        <v>501</v>
      </c>
      <c r="C164" s="27" t="s">
        <v>14</v>
      </c>
      <c r="D164" s="27" t="s">
        <v>34</v>
      </c>
      <c r="E164" s="27"/>
      <c r="F164" s="27"/>
      <c r="G164" s="28">
        <v>4000</v>
      </c>
      <c r="H164" s="28">
        <v>15635.8</v>
      </c>
      <c r="I164" s="29">
        <f t="shared" ref="I164:M165" si="69">I165</f>
        <v>92.3</v>
      </c>
      <c r="J164" s="29">
        <f t="shared" si="69"/>
        <v>15728.1</v>
      </c>
      <c r="K164" s="29">
        <f t="shared" si="69"/>
        <v>1486.1</v>
      </c>
      <c r="L164" s="29">
        <f t="shared" si="69"/>
        <v>17214.2</v>
      </c>
      <c r="M164" s="29">
        <f t="shared" si="69"/>
        <v>0</v>
      </c>
      <c r="N164" s="29">
        <v>17214.2</v>
      </c>
      <c r="O164" s="29">
        <v>17214.2</v>
      </c>
      <c r="P164" s="348">
        <v>17214.2</v>
      </c>
      <c r="Q164" s="256">
        <v>100</v>
      </c>
    </row>
    <row r="165" spans="1:17" s="12" customFormat="1">
      <c r="A165" s="8" t="s">
        <v>456</v>
      </c>
      <c r="B165" s="10" t="s">
        <v>501</v>
      </c>
      <c r="C165" s="10" t="s">
        <v>14</v>
      </c>
      <c r="D165" s="10" t="s">
        <v>34</v>
      </c>
      <c r="E165" s="10" t="s">
        <v>364</v>
      </c>
      <c r="F165" s="10"/>
      <c r="G165" s="11">
        <v>4000</v>
      </c>
      <c r="H165" s="11">
        <v>15635.8</v>
      </c>
      <c r="I165" s="7">
        <f t="shared" si="69"/>
        <v>92.3</v>
      </c>
      <c r="J165" s="7">
        <f t="shared" si="69"/>
        <v>15728.1</v>
      </c>
      <c r="K165" s="7">
        <f t="shared" si="69"/>
        <v>1486.1</v>
      </c>
      <c r="L165" s="7">
        <f t="shared" si="69"/>
        <v>17214.2</v>
      </c>
      <c r="M165" s="7">
        <f t="shared" si="69"/>
        <v>0</v>
      </c>
      <c r="N165" s="7">
        <v>17214.2</v>
      </c>
      <c r="O165" s="7">
        <v>17214.2</v>
      </c>
      <c r="P165" s="349">
        <v>17214.2</v>
      </c>
      <c r="Q165" s="257">
        <v>100</v>
      </c>
    </row>
    <row r="166" spans="1:17" s="12" customFormat="1" ht="31.5">
      <c r="A166" s="8" t="s">
        <v>531</v>
      </c>
      <c r="B166" s="10" t="s">
        <v>501</v>
      </c>
      <c r="C166" s="10" t="s">
        <v>14</v>
      </c>
      <c r="D166" s="10" t="s">
        <v>34</v>
      </c>
      <c r="E166" s="10" t="s">
        <v>455</v>
      </c>
      <c r="F166" s="10"/>
      <c r="G166" s="11">
        <v>4000</v>
      </c>
      <c r="H166" s="11">
        <v>15635.8</v>
      </c>
      <c r="I166" s="7">
        <f t="shared" ref="I166:M166" si="70">I167+I168</f>
        <v>92.3</v>
      </c>
      <c r="J166" s="7">
        <f t="shared" si="70"/>
        <v>15728.1</v>
      </c>
      <c r="K166" s="7">
        <f t="shared" si="70"/>
        <v>1486.1</v>
      </c>
      <c r="L166" s="7">
        <f t="shared" si="70"/>
        <v>17214.2</v>
      </c>
      <c r="M166" s="7">
        <f t="shared" si="70"/>
        <v>0</v>
      </c>
      <c r="N166" s="7">
        <v>17214.2</v>
      </c>
      <c r="O166" s="7">
        <v>17214.2</v>
      </c>
      <c r="P166" s="349">
        <v>17214.2</v>
      </c>
      <c r="Q166" s="257">
        <v>100</v>
      </c>
    </row>
    <row r="167" spans="1:17" s="12" customFormat="1" ht="47.25">
      <c r="A167" s="8" t="s">
        <v>360</v>
      </c>
      <c r="B167" s="10" t="s">
        <v>501</v>
      </c>
      <c r="C167" s="10" t="s">
        <v>14</v>
      </c>
      <c r="D167" s="10" t="s">
        <v>34</v>
      </c>
      <c r="E167" s="10" t="s">
        <v>455</v>
      </c>
      <c r="F167" s="10" t="s">
        <v>359</v>
      </c>
      <c r="G167" s="11">
        <v>4000</v>
      </c>
      <c r="H167" s="31">
        <v>15635.8</v>
      </c>
      <c r="I167" s="7">
        <f>-1273.8+92.3</f>
        <v>-1181.5</v>
      </c>
      <c r="J167" s="7">
        <f>H167+I167</f>
        <v>14454.3</v>
      </c>
      <c r="K167" s="7">
        <f>486.1+1000</f>
        <v>1486.1</v>
      </c>
      <c r="L167" s="7">
        <f>J167+K167</f>
        <v>15940.4</v>
      </c>
      <c r="M167" s="7"/>
      <c r="N167" s="7">
        <v>15940.4</v>
      </c>
      <c r="O167" s="7">
        <v>15940.4</v>
      </c>
      <c r="P167" s="349">
        <v>15940.4</v>
      </c>
      <c r="Q167" s="257">
        <v>100</v>
      </c>
    </row>
    <row r="168" spans="1:17" s="12" customFormat="1">
      <c r="A168" s="8" t="s">
        <v>373</v>
      </c>
      <c r="B168" s="10" t="s">
        <v>501</v>
      </c>
      <c r="C168" s="10" t="s">
        <v>14</v>
      </c>
      <c r="D168" s="10" t="s">
        <v>34</v>
      </c>
      <c r="E168" s="10" t="s">
        <v>455</v>
      </c>
      <c r="F168" s="10" t="s">
        <v>372</v>
      </c>
      <c r="G168" s="11"/>
      <c r="H168" s="31"/>
      <c r="I168" s="7">
        <v>1273.8</v>
      </c>
      <c r="J168" s="7">
        <f>H168+I168</f>
        <v>1273.8</v>
      </c>
      <c r="K168" s="7"/>
      <c r="L168" s="7">
        <f>J168+K168</f>
        <v>1273.8</v>
      </c>
      <c r="M168" s="7"/>
      <c r="N168" s="7">
        <v>1273.8</v>
      </c>
      <c r="O168" s="7">
        <v>1273.8</v>
      </c>
      <c r="P168" s="349">
        <v>1273.8</v>
      </c>
      <c r="Q168" s="257">
        <v>100</v>
      </c>
    </row>
    <row r="169" spans="1:17" s="30" customFormat="1">
      <c r="A169" s="26" t="s">
        <v>36</v>
      </c>
      <c r="B169" s="27" t="s">
        <v>501</v>
      </c>
      <c r="C169" s="27" t="s">
        <v>14</v>
      </c>
      <c r="D169" s="27" t="s">
        <v>14</v>
      </c>
      <c r="E169" s="27"/>
      <c r="F169" s="27"/>
      <c r="G169" s="28">
        <v>29143.200000000001</v>
      </c>
      <c r="H169" s="28">
        <v>152779.20000000001</v>
      </c>
      <c r="I169" s="29" t="e">
        <f>I170+I176+I193+I230+I185</f>
        <v>#REF!</v>
      </c>
      <c r="J169" s="29" t="e">
        <f>J170+J176+J193+J230+J185</f>
        <v>#REF!</v>
      </c>
      <c r="K169" s="29" t="e">
        <f>K170+K176+K193+K230+K185+K243+K188</f>
        <v>#REF!</v>
      </c>
      <c r="L169" s="29" t="e">
        <f>L170+L176+L193+L230+L185+L243+L188+L190</f>
        <v>#REF!</v>
      </c>
      <c r="M169" s="29" t="e">
        <f>M170+M176+M193+M230+M185+M243+M188+M190</f>
        <v>#REF!</v>
      </c>
      <c r="N169" s="29">
        <v>467350</v>
      </c>
      <c r="O169" s="29">
        <v>467350.1</v>
      </c>
      <c r="P169" s="348">
        <v>464564.5</v>
      </c>
      <c r="Q169" s="256">
        <v>99.4</v>
      </c>
    </row>
    <row r="170" spans="1:17" s="12" customFormat="1">
      <c r="A170" s="8" t="s">
        <v>37</v>
      </c>
      <c r="B170" s="10" t="s">
        <v>501</v>
      </c>
      <c r="C170" s="10" t="s">
        <v>14</v>
      </c>
      <c r="D170" s="10" t="s">
        <v>14</v>
      </c>
      <c r="E170" s="10" t="s">
        <v>38</v>
      </c>
      <c r="F170" s="10"/>
      <c r="G170" s="11">
        <v>15.6</v>
      </c>
      <c r="H170" s="11">
        <v>2605.1999999999998</v>
      </c>
      <c r="I170" s="7">
        <f t="shared" ref="I170:M170" si="71">I171</f>
        <v>0</v>
      </c>
      <c r="J170" s="7">
        <f t="shared" si="71"/>
        <v>2605.1999999999998</v>
      </c>
      <c r="K170" s="7">
        <f t="shared" si="71"/>
        <v>93.5</v>
      </c>
      <c r="L170" s="7">
        <f t="shared" si="71"/>
        <v>2698.7</v>
      </c>
      <c r="M170" s="7">
        <f t="shared" si="71"/>
        <v>0</v>
      </c>
      <c r="N170" s="7">
        <v>2698.7</v>
      </c>
      <c r="O170" s="7">
        <v>2698.8</v>
      </c>
      <c r="P170" s="349">
        <v>2698.6</v>
      </c>
      <c r="Q170" s="257">
        <v>99.99</v>
      </c>
    </row>
    <row r="171" spans="1:17" s="12" customFormat="1" ht="47.25">
      <c r="A171" s="8" t="s">
        <v>630</v>
      </c>
      <c r="B171" s="10" t="s">
        <v>501</v>
      </c>
      <c r="C171" s="10" t="s">
        <v>14</v>
      </c>
      <c r="D171" s="10" t="s">
        <v>14</v>
      </c>
      <c r="E171" s="10" t="s">
        <v>39</v>
      </c>
      <c r="F171" s="10"/>
      <c r="G171" s="11">
        <v>15.6</v>
      </c>
      <c r="H171" s="11">
        <v>2605.1999999999998</v>
      </c>
      <c r="I171" s="7">
        <f t="shared" ref="I171:M171" si="72">I172+I173+I174+I175</f>
        <v>0</v>
      </c>
      <c r="J171" s="7">
        <f t="shared" si="72"/>
        <v>2605.1999999999998</v>
      </c>
      <c r="K171" s="7">
        <f t="shared" si="72"/>
        <v>93.5</v>
      </c>
      <c r="L171" s="7">
        <f t="shared" si="72"/>
        <v>2698.7</v>
      </c>
      <c r="M171" s="7">
        <f t="shared" si="72"/>
        <v>0</v>
      </c>
      <c r="N171" s="7">
        <v>2698.7</v>
      </c>
      <c r="O171" s="7">
        <v>2698.8</v>
      </c>
      <c r="P171" s="349">
        <v>2698.6</v>
      </c>
      <c r="Q171" s="257">
        <v>99.99</v>
      </c>
    </row>
    <row r="172" spans="1:17" s="12" customFormat="1">
      <c r="A172" s="8" t="s">
        <v>337</v>
      </c>
      <c r="B172" s="10" t="s">
        <v>501</v>
      </c>
      <c r="C172" s="10" t="s">
        <v>14</v>
      </c>
      <c r="D172" s="10" t="s">
        <v>14</v>
      </c>
      <c r="E172" s="10" t="s">
        <v>39</v>
      </c>
      <c r="F172" s="10" t="s">
        <v>331</v>
      </c>
      <c r="G172" s="11">
        <v>250.7</v>
      </c>
      <c r="H172" s="31">
        <v>1990.7</v>
      </c>
      <c r="I172" s="7"/>
      <c r="J172" s="7">
        <f>H172+I172</f>
        <v>1990.7</v>
      </c>
      <c r="K172" s="7">
        <f>21.1+156.2</f>
        <v>177.3</v>
      </c>
      <c r="L172" s="7">
        <f>J172+K172</f>
        <v>2168</v>
      </c>
      <c r="M172" s="7">
        <f>78.1+0.1</f>
        <v>78.2</v>
      </c>
      <c r="N172" s="7">
        <v>2246.1999999999998</v>
      </c>
      <c r="O172" s="7">
        <v>2246.1999999999998</v>
      </c>
      <c r="P172" s="349">
        <v>2246</v>
      </c>
      <c r="Q172" s="257">
        <v>99.99</v>
      </c>
    </row>
    <row r="173" spans="1:17" s="12" customFormat="1">
      <c r="A173" s="8" t="s">
        <v>383</v>
      </c>
      <c r="B173" s="10" t="s">
        <v>501</v>
      </c>
      <c r="C173" s="10" t="s">
        <v>14</v>
      </c>
      <c r="D173" s="10" t="s">
        <v>14</v>
      </c>
      <c r="E173" s="10" t="s">
        <v>39</v>
      </c>
      <c r="F173" s="10" t="s">
        <v>332</v>
      </c>
      <c r="G173" s="11">
        <v>51</v>
      </c>
      <c r="H173" s="31">
        <v>51</v>
      </c>
      <c r="I173" s="7"/>
      <c r="J173" s="7">
        <f>H173+I173</f>
        <v>51</v>
      </c>
      <c r="K173" s="7">
        <f>9+20</f>
        <v>29</v>
      </c>
      <c r="L173" s="7">
        <f>J173+K173</f>
        <v>80</v>
      </c>
      <c r="M173" s="7">
        <v>-5.4</v>
      </c>
      <c r="N173" s="7">
        <v>74.599999999999994</v>
      </c>
      <c r="O173" s="7">
        <v>74.599999999999994</v>
      </c>
      <c r="P173" s="349">
        <v>74.599999999999994</v>
      </c>
      <c r="Q173" s="257">
        <v>100</v>
      </c>
    </row>
    <row r="174" spans="1:17" s="12" customFormat="1" ht="31.5">
      <c r="A174" s="8" t="s">
        <v>361</v>
      </c>
      <c r="B174" s="10" t="s">
        <v>501</v>
      </c>
      <c r="C174" s="10" t="s">
        <v>14</v>
      </c>
      <c r="D174" s="10" t="s">
        <v>14</v>
      </c>
      <c r="E174" s="10" t="s">
        <v>39</v>
      </c>
      <c r="F174" s="10" t="s">
        <v>333</v>
      </c>
      <c r="G174" s="11">
        <v>44.5</v>
      </c>
      <c r="H174" s="31">
        <v>114.5</v>
      </c>
      <c r="I174" s="7"/>
      <c r="J174" s="7">
        <f>H174+I174</f>
        <v>114.5</v>
      </c>
      <c r="K174" s="7">
        <f>25+2</f>
        <v>27</v>
      </c>
      <c r="L174" s="7">
        <f>J174+K174</f>
        <v>141.5</v>
      </c>
      <c r="M174" s="7">
        <f>-29-0.1</f>
        <v>-29.1</v>
      </c>
      <c r="N174" s="7">
        <v>112.4</v>
      </c>
      <c r="O174" s="7">
        <v>112.4</v>
      </c>
      <c r="P174" s="349">
        <v>112.4</v>
      </c>
      <c r="Q174" s="257">
        <v>100</v>
      </c>
    </row>
    <row r="175" spans="1:17" s="12" customFormat="1">
      <c r="A175" s="8" t="s">
        <v>362</v>
      </c>
      <c r="B175" s="10" t="s">
        <v>501</v>
      </c>
      <c r="C175" s="10" t="s">
        <v>14</v>
      </c>
      <c r="D175" s="10" t="s">
        <v>14</v>
      </c>
      <c r="E175" s="10" t="s">
        <v>39</v>
      </c>
      <c r="F175" s="10" t="s">
        <v>334</v>
      </c>
      <c r="G175" s="11">
        <v>-330.6</v>
      </c>
      <c r="H175" s="31">
        <v>449</v>
      </c>
      <c r="I175" s="7"/>
      <c r="J175" s="7">
        <f>H175+I175</f>
        <v>449</v>
      </c>
      <c r="K175" s="7">
        <f>47.5-11-176.3</f>
        <v>-139.80000000000001</v>
      </c>
      <c r="L175" s="7">
        <f>J175+K175</f>
        <v>309.2</v>
      </c>
      <c r="M175" s="7">
        <v>-43.7</v>
      </c>
      <c r="N175" s="7">
        <v>265.5</v>
      </c>
      <c r="O175" s="7">
        <v>265.60000000000002</v>
      </c>
      <c r="P175" s="349">
        <v>265.60000000000002</v>
      </c>
      <c r="Q175" s="257">
        <v>100</v>
      </c>
    </row>
    <row r="176" spans="1:17" s="12" customFormat="1" ht="47.25">
      <c r="A176" s="8" t="s">
        <v>40</v>
      </c>
      <c r="B176" s="10" t="s">
        <v>501</v>
      </c>
      <c r="C176" s="10" t="s">
        <v>14</v>
      </c>
      <c r="D176" s="10" t="s">
        <v>14</v>
      </c>
      <c r="E176" s="41" t="s">
        <v>41</v>
      </c>
      <c r="F176" s="10"/>
      <c r="G176" s="11">
        <v>-3329.3</v>
      </c>
      <c r="H176" s="11">
        <v>13509.2</v>
      </c>
      <c r="I176" s="7">
        <f t="shared" ref="I176:M176" si="73">I177</f>
        <v>0</v>
      </c>
      <c r="J176" s="7">
        <f t="shared" si="73"/>
        <v>13509.2</v>
      </c>
      <c r="K176" s="7">
        <f t="shared" si="73"/>
        <v>456.1</v>
      </c>
      <c r="L176" s="7">
        <f t="shared" si="73"/>
        <v>13965.3</v>
      </c>
      <c r="M176" s="7">
        <f t="shared" si="73"/>
        <v>0</v>
      </c>
      <c r="N176" s="7">
        <v>13965.3</v>
      </c>
      <c r="O176" s="7">
        <v>13965.3</v>
      </c>
      <c r="P176" s="349">
        <v>13824</v>
      </c>
      <c r="Q176" s="257">
        <v>98.99</v>
      </c>
    </row>
    <row r="177" spans="1:17" s="12" customFormat="1">
      <c r="A177" s="8" t="s">
        <v>42</v>
      </c>
      <c r="B177" s="10" t="s">
        <v>501</v>
      </c>
      <c r="C177" s="10" t="s">
        <v>14</v>
      </c>
      <c r="D177" s="10" t="s">
        <v>14</v>
      </c>
      <c r="E177" s="41" t="s">
        <v>43</v>
      </c>
      <c r="F177" s="10"/>
      <c r="G177" s="11">
        <v>-3329.3</v>
      </c>
      <c r="H177" s="11">
        <v>13509.2</v>
      </c>
      <c r="I177" s="7">
        <f>I178+I179+I180+I181+I183</f>
        <v>0</v>
      </c>
      <c r="J177" s="7">
        <f t="shared" ref="J177:M177" si="74">J178+J179+J180+J181+J183+J184+J182</f>
        <v>13509.2</v>
      </c>
      <c r="K177" s="7">
        <f t="shared" si="74"/>
        <v>456.1</v>
      </c>
      <c r="L177" s="7">
        <f t="shared" si="74"/>
        <v>13965.3</v>
      </c>
      <c r="M177" s="7">
        <f t="shared" si="74"/>
        <v>0</v>
      </c>
      <c r="N177" s="7">
        <v>13965.3</v>
      </c>
      <c r="O177" s="7">
        <v>13965.3</v>
      </c>
      <c r="P177" s="349">
        <v>13824</v>
      </c>
      <c r="Q177" s="257">
        <v>98.99</v>
      </c>
    </row>
    <row r="178" spans="1:17" s="12" customFormat="1">
      <c r="A178" s="8" t="s">
        <v>337</v>
      </c>
      <c r="B178" s="10" t="s">
        <v>501</v>
      </c>
      <c r="C178" s="10" t="s">
        <v>14</v>
      </c>
      <c r="D178" s="10" t="s">
        <v>14</v>
      </c>
      <c r="E178" s="41" t="s">
        <v>43</v>
      </c>
      <c r="F178" s="10" t="s">
        <v>331</v>
      </c>
      <c r="G178" s="11">
        <v>-595.20000000000005</v>
      </c>
      <c r="H178" s="31">
        <v>11529.2</v>
      </c>
      <c r="I178" s="7"/>
      <c r="J178" s="7">
        <f>H178+I178</f>
        <v>11529.2</v>
      </c>
      <c r="K178" s="7">
        <v>456.1</v>
      </c>
      <c r="L178" s="7">
        <f t="shared" ref="L178:L184" si="75">J178+K178</f>
        <v>11985.3</v>
      </c>
      <c r="M178" s="7"/>
      <c r="N178" s="7">
        <v>11985.3</v>
      </c>
      <c r="O178" s="7">
        <v>11985.3</v>
      </c>
      <c r="P178" s="349">
        <v>11857.8</v>
      </c>
      <c r="Q178" s="257">
        <v>98.94</v>
      </c>
    </row>
    <row r="179" spans="1:17" s="12" customFormat="1">
      <c r="A179" s="8" t="s">
        <v>383</v>
      </c>
      <c r="B179" s="10" t="s">
        <v>501</v>
      </c>
      <c r="C179" s="10" t="s">
        <v>14</v>
      </c>
      <c r="D179" s="10" t="s">
        <v>14</v>
      </c>
      <c r="E179" s="41" t="s">
        <v>43</v>
      </c>
      <c r="F179" s="10" t="s">
        <v>332</v>
      </c>
      <c r="G179" s="11">
        <v>-70</v>
      </c>
      <c r="H179" s="31">
        <v>720</v>
      </c>
      <c r="I179" s="7"/>
      <c r="J179" s="7">
        <f>H179+I179</f>
        <v>720</v>
      </c>
      <c r="K179" s="7">
        <v>60</v>
      </c>
      <c r="L179" s="7">
        <f t="shared" si="75"/>
        <v>780</v>
      </c>
      <c r="M179" s="7">
        <v>21.2</v>
      </c>
      <c r="N179" s="7">
        <v>801.2</v>
      </c>
      <c r="O179" s="7">
        <v>824.2</v>
      </c>
      <c r="P179" s="349">
        <v>824.2</v>
      </c>
      <c r="Q179" s="257">
        <v>100</v>
      </c>
    </row>
    <row r="180" spans="1:17" s="12" customFormat="1" ht="47.25">
      <c r="A180" s="8" t="s">
        <v>338</v>
      </c>
      <c r="B180" s="10" t="s">
        <v>501</v>
      </c>
      <c r="C180" s="10" t="s">
        <v>14</v>
      </c>
      <c r="D180" s="10" t="s">
        <v>14</v>
      </c>
      <c r="E180" s="41" t="s">
        <v>43</v>
      </c>
      <c r="F180" s="10" t="s">
        <v>333</v>
      </c>
      <c r="G180" s="11">
        <v>-480</v>
      </c>
      <c r="H180" s="31">
        <v>360</v>
      </c>
      <c r="I180" s="7">
        <v>59.1</v>
      </c>
      <c r="J180" s="7">
        <f>H180+I180</f>
        <v>419.1</v>
      </c>
      <c r="K180" s="7"/>
      <c r="L180" s="7">
        <f t="shared" si="75"/>
        <v>419.1</v>
      </c>
      <c r="M180" s="7">
        <v>30</v>
      </c>
      <c r="N180" s="7">
        <v>449.1</v>
      </c>
      <c r="O180" s="7">
        <v>449.1</v>
      </c>
      <c r="P180" s="349">
        <v>449.1</v>
      </c>
      <c r="Q180" s="257">
        <v>100</v>
      </c>
    </row>
    <row r="181" spans="1:17" s="12" customFormat="1" ht="31.5">
      <c r="A181" s="8" t="s">
        <v>339</v>
      </c>
      <c r="B181" s="10" t="s">
        <v>501</v>
      </c>
      <c r="C181" s="10" t="s">
        <v>14</v>
      </c>
      <c r="D181" s="10" t="s">
        <v>14</v>
      </c>
      <c r="E181" s="41" t="s">
        <v>43</v>
      </c>
      <c r="F181" s="10" t="s">
        <v>334</v>
      </c>
      <c r="G181" s="11">
        <v>-2184.1</v>
      </c>
      <c r="H181" s="31">
        <v>820</v>
      </c>
      <c r="I181" s="7">
        <v>-59.1</v>
      </c>
      <c r="J181" s="7">
        <f>H181+I181</f>
        <v>760.9</v>
      </c>
      <c r="K181" s="7">
        <v>-40</v>
      </c>
      <c r="L181" s="7">
        <f t="shared" si="75"/>
        <v>720.9</v>
      </c>
      <c r="M181" s="7">
        <v>-51.2</v>
      </c>
      <c r="N181" s="7">
        <v>669.7</v>
      </c>
      <c r="O181" s="7">
        <v>669.7</v>
      </c>
      <c r="P181" s="349">
        <v>669.7</v>
      </c>
      <c r="Q181" s="257">
        <v>100</v>
      </c>
    </row>
    <row r="182" spans="1:17" s="12" customFormat="1" ht="78.75">
      <c r="A182" s="8" t="s">
        <v>428</v>
      </c>
      <c r="B182" s="10" t="s">
        <v>501</v>
      </c>
      <c r="C182" s="10" t="s">
        <v>14</v>
      </c>
      <c r="D182" s="10" t="s">
        <v>14</v>
      </c>
      <c r="E182" s="41" t="s">
        <v>43</v>
      </c>
      <c r="F182" s="10" t="s">
        <v>427</v>
      </c>
      <c r="G182" s="11"/>
      <c r="H182" s="31"/>
      <c r="I182" s="7"/>
      <c r="J182" s="7"/>
      <c r="K182" s="7">
        <f>22.5-6.3</f>
        <v>16.2</v>
      </c>
      <c r="L182" s="7">
        <f>J182+K182</f>
        <v>16.2</v>
      </c>
      <c r="M182" s="7"/>
      <c r="N182" s="7">
        <v>16.2</v>
      </c>
      <c r="O182" s="7">
        <v>16.2</v>
      </c>
      <c r="P182" s="349">
        <v>3</v>
      </c>
      <c r="Q182" s="257">
        <v>18.52</v>
      </c>
    </row>
    <row r="183" spans="1:17" s="12" customFormat="1" ht="31.5">
      <c r="A183" s="8" t="s">
        <v>340</v>
      </c>
      <c r="B183" s="10" t="s">
        <v>501</v>
      </c>
      <c r="C183" s="10" t="s">
        <v>14</v>
      </c>
      <c r="D183" s="10" t="s">
        <v>14</v>
      </c>
      <c r="E183" s="41" t="s">
        <v>43</v>
      </c>
      <c r="F183" s="10" t="s">
        <v>335</v>
      </c>
      <c r="G183" s="11">
        <v>0</v>
      </c>
      <c r="H183" s="31">
        <v>80</v>
      </c>
      <c r="I183" s="7"/>
      <c r="J183" s="7">
        <f>H183+I183</f>
        <v>80</v>
      </c>
      <c r="K183" s="7">
        <f>-10-22.5-20</f>
        <v>-52.5</v>
      </c>
      <c r="L183" s="7">
        <f t="shared" si="75"/>
        <v>27.5</v>
      </c>
      <c r="M183" s="7"/>
      <c r="N183" s="7">
        <v>27.5</v>
      </c>
      <c r="O183" s="7">
        <v>4.5</v>
      </c>
      <c r="P183" s="349">
        <v>3.9</v>
      </c>
      <c r="Q183" s="257">
        <v>86.67</v>
      </c>
    </row>
    <row r="184" spans="1:17" s="12" customFormat="1">
      <c r="A184" s="8" t="s">
        <v>380</v>
      </c>
      <c r="B184" s="10" t="s">
        <v>501</v>
      </c>
      <c r="C184" s="10" t="s">
        <v>14</v>
      </c>
      <c r="D184" s="10" t="s">
        <v>14</v>
      </c>
      <c r="E184" s="41" t="s">
        <v>43</v>
      </c>
      <c r="F184" s="10" t="s">
        <v>336</v>
      </c>
      <c r="G184" s="11"/>
      <c r="H184" s="31"/>
      <c r="I184" s="7"/>
      <c r="J184" s="7"/>
      <c r="K184" s="7">
        <f>10+6.3</f>
        <v>16.3</v>
      </c>
      <c r="L184" s="7">
        <f t="shared" si="75"/>
        <v>16.3</v>
      </c>
      <c r="M184" s="7"/>
      <c r="N184" s="7">
        <v>16.3</v>
      </c>
      <c r="O184" s="7">
        <v>16.3</v>
      </c>
      <c r="P184" s="349">
        <v>16.3</v>
      </c>
      <c r="Q184" s="257">
        <v>100</v>
      </c>
    </row>
    <row r="185" spans="1:17" s="12" customFormat="1" ht="63">
      <c r="A185" s="9" t="s">
        <v>840</v>
      </c>
      <c r="B185" s="10" t="s">
        <v>501</v>
      </c>
      <c r="C185" s="10" t="s">
        <v>14</v>
      </c>
      <c r="D185" s="10" t="s">
        <v>14</v>
      </c>
      <c r="E185" s="41" t="s">
        <v>838</v>
      </c>
      <c r="F185" s="10"/>
      <c r="G185" s="11"/>
      <c r="H185" s="31">
        <f t="shared" ref="H185:M186" si="76">H186</f>
        <v>0</v>
      </c>
      <c r="I185" s="31">
        <f t="shared" si="76"/>
        <v>112.1</v>
      </c>
      <c r="J185" s="31">
        <f t="shared" si="76"/>
        <v>112.1</v>
      </c>
      <c r="K185" s="31">
        <f t="shared" si="76"/>
        <v>0</v>
      </c>
      <c r="L185" s="31">
        <f t="shared" si="76"/>
        <v>112.1</v>
      </c>
      <c r="M185" s="31">
        <f t="shared" si="76"/>
        <v>0</v>
      </c>
      <c r="N185" s="31">
        <v>112.1</v>
      </c>
      <c r="O185" s="36">
        <v>112.1</v>
      </c>
      <c r="P185" s="350">
        <v>112.1</v>
      </c>
      <c r="Q185" s="257">
        <v>100</v>
      </c>
    </row>
    <row r="186" spans="1:17" s="12" customFormat="1" ht="63">
      <c r="A186" s="9" t="s">
        <v>841</v>
      </c>
      <c r="B186" s="10" t="s">
        <v>501</v>
      </c>
      <c r="C186" s="10" t="s">
        <v>14</v>
      </c>
      <c r="D186" s="10" t="s">
        <v>14</v>
      </c>
      <c r="E186" s="41" t="s">
        <v>839</v>
      </c>
      <c r="F186" s="10"/>
      <c r="G186" s="11"/>
      <c r="H186" s="31">
        <f t="shared" si="76"/>
        <v>0</v>
      </c>
      <c r="I186" s="31">
        <f t="shared" si="76"/>
        <v>112.1</v>
      </c>
      <c r="J186" s="31">
        <f t="shared" si="76"/>
        <v>112.1</v>
      </c>
      <c r="K186" s="31">
        <f t="shared" si="76"/>
        <v>0</v>
      </c>
      <c r="L186" s="31">
        <f t="shared" si="76"/>
        <v>112.1</v>
      </c>
      <c r="M186" s="31">
        <f t="shared" si="76"/>
        <v>0</v>
      </c>
      <c r="N186" s="31">
        <v>112.1</v>
      </c>
      <c r="O186" s="36">
        <v>112.1</v>
      </c>
      <c r="P186" s="350">
        <v>112.1</v>
      </c>
      <c r="Q186" s="257">
        <v>100</v>
      </c>
    </row>
    <row r="187" spans="1:17" s="12" customFormat="1" ht="47.25">
      <c r="A187" s="8" t="s">
        <v>338</v>
      </c>
      <c r="B187" s="10" t="s">
        <v>501</v>
      </c>
      <c r="C187" s="10" t="s">
        <v>14</v>
      </c>
      <c r="D187" s="10" t="s">
        <v>14</v>
      </c>
      <c r="E187" s="41" t="s">
        <v>839</v>
      </c>
      <c r="F187" s="10" t="s">
        <v>333</v>
      </c>
      <c r="G187" s="11"/>
      <c r="H187" s="31"/>
      <c r="I187" s="7">
        <v>112.1</v>
      </c>
      <c r="J187" s="7">
        <f>H187+I187</f>
        <v>112.1</v>
      </c>
      <c r="K187" s="7"/>
      <c r="L187" s="7">
        <f>J187+K187</f>
        <v>112.1</v>
      </c>
      <c r="M187" s="7"/>
      <c r="N187" s="7">
        <v>112.1</v>
      </c>
      <c r="O187" s="7">
        <v>112.1</v>
      </c>
      <c r="P187" s="349">
        <v>112.1</v>
      </c>
      <c r="Q187" s="257">
        <v>100</v>
      </c>
    </row>
    <row r="188" spans="1:17" s="12" customFormat="1" ht="31.5">
      <c r="A188" s="8" t="s">
        <v>938</v>
      </c>
      <c r="B188" s="10" t="s">
        <v>501</v>
      </c>
      <c r="C188" s="10" t="s">
        <v>14</v>
      </c>
      <c r="D188" s="10" t="s">
        <v>14</v>
      </c>
      <c r="E188" s="41" t="s">
        <v>937</v>
      </c>
      <c r="F188" s="10"/>
      <c r="G188" s="11"/>
      <c r="H188" s="31"/>
      <c r="I188" s="7"/>
      <c r="J188" s="7"/>
      <c r="K188" s="7">
        <f t="shared" ref="K188:M188" si="77">K189</f>
        <v>164055.6</v>
      </c>
      <c r="L188" s="7">
        <f t="shared" si="77"/>
        <v>164055.6</v>
      </c>
      <c r="M188" s="7">
        <f t="shared" si="77"/>
        <v>0</v>
      </c>
      <c r="N188" s="7">
        <v>164055.6</v>
      </c>
      <c r="O188" s="7">
        <v>164055.6</v>
      </c>
      <c r="P188" s="349">
        <v>161977.79999999999</v>
      </c>
      <c r="Q188" s="257">
        <v>98.73</v>
      </c>
    </row>
    <row r="189" spans="1:17" s="12" customFormat="1" ht="31.5">
      <c r="A189" s="8" t="s">
        <v>339</v>
      </c>
      <c r="B189" s="10" t="s">
        <v>501</v>
      </c>
      <c r="C189" s="10" t="s">
        <v>14</v>
      </c>
      <c r="D189" s="10" t="s">
        <v>14</v>
      </c>
      <c r="E189" s="41" t="s">
        <v>937</v>
      </c>
      <c r="F189" s="10" t="s">
        <v>334</v>
      </c>
      <c r="G189" s="11"/>
      <c r="H189" s="31"/>
      <c r="I189" s="7"/>
      <c r="J189" s="7"/>
      <c r="K189" s="7">
        <v>164055.6</v>
      </c>
      <c r="L189" s="7">
        <f>J189+K189</f>
        <v>164055.6</v>
      </c>
      <c r="M189" s="7"/>
      <c r="N189" s="7">
        <v>164055.6</v>
      </c>
      <c r="O189" s="7">
        <v>164055.6</v>
      </c>
      <c r="P189" s="349">
        <v>161977.79999999999</v>
      </c>
      <c r="Q189" s="257">
        <v>98.73</v>
      </c>
    </row>
    <row r="190" spans="1:17" s="12" customFormat="1" ht="47.25">
      <c r="A190" s="32" t="s">
        <v>1043</v>
      </c>
      <c r="B190" s="10" t="s">
        <v>501</v>
      </c>
      <c r="C190" s="10" t="s">
        <v>14</v>
      </c>
      <c r="D190" s="10" t="s">
        <v>14</v>
      </c>
      <c r="E190" s="41" t="s">
        <v>1013</v>
      </c>
      <c r="F190" s="10"/>
      <c r="G190" s="11"/>
      <c r="H190" s="31"/>
      <c r="I190" s="7"/>
      <c r="J190" s="7"/>
      <c r="K190" s="7"/>
      <c r="L190" s="7">
        <f>L191</f>
        <v>0</v>
      </c>
      <c r="M190" s="7">
        <f t="shared" ref="M190:M191" si="78">M191</f>
        <v>5500</v>
      </c>
      <c r="N190" s="7">
        <v>5500</v>
      </c>
      <c r="O190" s="7">
        <v>5500</v>
      </c>
      <c r="P190" s="349">
        <v>5500</v>
      </c>
      <c r="Q190" s="257">
        <v>100</v>
      </c>
    </row>
    <row r="191" spans="1:17" s="12" customFormat="1" ht="31.5">
      <c r="A191" s="32" t="s">
        <v>1012</v>
      </c>
      <c r="B191" s="10" t="s">
        <v>501</v>
      </c>
      <c r="C191" s="10" t="s">
        <v>14</v>
      </c>
      <c r="D191" s="10" t="s">
        <v>14</v>
      </c>
      <c r="E191" s="41" t="s">
        <v>1011</v>
      </c>
      <c r="F191" s="10"/>
      <c r="G191" s="11"/>
      <c r="H191" s="31"/>
      <c r="I191" s="7"/>
      <c r="J191" s="7"/>
      <c r="K191" s="7"/>
      <c r="L191" s="7">
        <f>L192</f>
        <v>0</v>
      </c>
      <c r="M191" s="7">
        <f t="shared" si="78"/>
        <v>5500</v>
      </c>
      <c r="N191" s="7">
        <v>5500</v>
      </c>
      <c r="O191" s="7">
        <v>5500</v>
      </c>
      <c r="P191" s="349">
        <v>5500</v>
      </c>
      <c r="Q191" s="257">
        <v>100</v>
      </c>
    </row>
    <row r="192" spans="1:17" s="12" customFormat="1">
      <c r="A192" s="8" t="s">
        <v>580</v>
      </c>
      <c r="B192" s="10" t="s">
        <v>501</v>
      </c>
      <c r="C192" s="10" t="s">
        <v>14</v>
      </c>
      <c r="D192" s="10" t="s">
        <v>14</v>
      </c>
      <c r="E192" s="41" t="s">
        <v>1011</v>
      </c>
      <c r="F192" s="10" t="s">
        <v>581</v>
      </c>
      <c r="G192" s="11"/>
      <c r="H192" s="31"/>
      <c r="I192" s="7"/>
      <c r="J192" s="7"/>
      <c r="K192" s="7"/>
      <c r="L192" s="7"/>
      <c r="M192" s="7">
        <v>5500</v>
      </c>
      <c r="N192" s="7">
        <v>5500</v>
      </c>
      <c r="O192" s="7">
        <v>5500</v>
      </c>
      <c r="P192" s="349">
        <v>5500</v>
      </c>
      <c r="Q192" s="257">
        <v>100</v>
      </c>
    </row>
    <row r="193" spans="1:17" s="12" customFormat="1">
      <c r="A193" s="8" t="s">
        <v>17</v>
      </c>
      <c r="B193" s="10" t="s">
        <v>501</v>
      </c>
      <c r="C193" s="10" t="s">
        <v>14</v>
      </c>
      <c r="D193" s="10" t="s">
        <v>14</v>
      </c>
      <c r="E193" s="10" t="s">
        <v>18</v>
      </c>
      <c r="F193" s="10"/>
      <c r="G193" s="11">
        <v>18849</v>
      </c>
      <c r="H193" s="11">
        <v>123056.9</v>
      </c>
      <c r="I193" s="7" t="e">
        <f t="shared" ref="I193:M193" si="79">I194+I204+I221+I224+I226</f>
        <v>#REF!</v>
      </c>
      <c r="J193" s="7">
        <f t="shared" si="79"/>
        <v>138472.4</v>
      </c>
      <c r="K193" s="7">
        <f t="shared" si="79"/>
        <v>19261.099999999999</v>
      </c>
      <c r="L193" s="7">
        <f t="shared" si="79"/>
        <v>157733.5</v>
      </c>
      <c r="M193" s="7">
        <f t="shared" si="79"/>
        <v>2400</v>
      </c>
      <c r="N193" s="7">
        <v>160133.5</v>
      </c>
      <c r="O193" s="7">
        <v>160133.5</v>
      </c>
      <c r="P193" s="349">
        <v>160133.5</v>
      </c>
      <c r="Q193" s="257">
        <v>100</v>
      </c>
    </row>
    <row r="194" spans="1:17" s="12" customFormat="1" ht="63">
      <c r="A194" s="6" t="s">
        <v>912</v>
      </c>
      <c r="B194" s="10" t="s">
        <v>501</v>
      </c>
      <c r="C194" s="10" t="s">
        <v>14</v>
      </c>
      <c r="D194" s="10" t="s">
        <v>14</v>
      </c>
      <c r="E194" s="10" t="s">
        <v>19</v>
      </c>
      <c r="F194" s="41"/>
      <c r="G194" s="11">
        <v>-1151</v>
      </c>
      <c r="H194" s="11">
        <v>76611.8</v>
      </c>
      <c r="I194" s="7" t="e">
        <f>I195+I197+#REF!+#REF!+#REF!+#REF!+#REF!+#REF!+I200+I202+#REF!</f>
        <v>#REF!</v>
      </c>
      <c r="J194" s="7">
        <f t="shared" ref="J194:M194" si="80">J195+J197+J200+J202</f>
        <v>75657.899999999994</v>
      </c>
      <c r="K194" s="7">
        <f t="shared" si="80"/>
        <v>4898.7</v>
      </c>
      <c r="L194" s="7">
        <f t="shared" si="80"/>
        <v>80556.600000000006</v>
      </c>
      <c r="M194" s="7">
        <f t="shared" si="80"/>
        <v>2400</v>
      </c>
      <c r="N194" s="7">
        <v>82956.600000000006</v>
      </c>
      <c r="O194" s="7">
        <v>82956.600000000006</v>
      </c>
      <c r="P194" s="349">
        <v>82956.600000000006</v>
      </c>
      <c r="Q194" s="257">
        <v>100</v>
      </c>
    </row>
    <row r="195" spans="1:17" s="12" customFormat="1" ht="47.25">
      <c r="A195" s="8" t="s">
        <v>532</v>
      </c>
      <c r="B195" s="10" t="s">
        <v>501</v>
      </c>
      <c r="C195" s="10" t="s">
        <v>14</v>
      </c>
      <c r="D195" s="10" t="s">
        <v>14</v>
      </c>
      <c r="E195" s="10" t="s">
        <v>412</v>
      </c>
      <c r="F195" s="41"/>
      <c r="G195" s="11">
        <v>0</v>
      </c>
      <c r="H195" s="11">
        <v>10720.5</v>
      </c>
      <c r="I195" s="7">
        <f t="shared" ref="I195:M195" si="81">I196</f>
        <v>0</v>
      </c>
      <c r="J195" s="7">
        <f t="shared" si="81"/>
        <v>10720.5</v>
      </c>
      <c r="K195" s="7">
        <f t="shared" si="81"/>
        <v>686.2</v>
      </c>
      <c r="L195" s="7">
        <f t="shared" si="81"/>
        <v>11406.7</v>
      </c>
      <c r="M195" s="7">
        <f t="shared" si="81"/>
        <v>0</v>
      </c>
      <c r="N195" s="7">
        <v>11406.7</v>
      </c>
      <c r="O195" s="7">
        <v>11406.7</v>
      </c>
      <c r="P195" s="349">
        <v>11406.7</v>
      </c>
      <c r="Q195" s="257">
        <v>100</v>
      </c>
    </row>
    <row r="196" spans="1:17" s="12" customFormat="1" ht="47.25">
      <c r="A196" s="8" t="s">
        <v>360</v>
      </c>
      <c r="B196" s="10" t="s">
        <v>501</v>
      </c>
      <c r="C196" s="10" t="s">
        <v>14</v>
      </c>
      <c r="D196" s="10" t="s">
        <v>14</v>
      </c>
      <c r="E196" s="10" t="s">
        <v>412</v>
      </c>
      <c r="F196" s="41" t="s">
        <v>359</v>
      </c>
      <c r="G196" s="11">
        <v>0</v>
      </c>
      <c r="H196" s="31">
        <v>10720.5</v>
      </c>
      <c r="I196" s="7"/>
      <c r="J196" s="7">
        <f>H196+I196</f>
        <v>10720.5</v>
      </c>
      <c r="K196" s="7">
        <v>686.2</v>
      </c>
      <c r="L196" s="7">
        <f>J196+K196</f>
        <v>11406.7</v>
      </c>
      <c r="M196" s="7"/>
      <c r="N196" s="7">
        <v>11406.7</v>
      </c>
      <c r="O196" s="7">
        <v>11406.7</v>
      </c>
      <c r="P196" s="349">
        <v>11406.7</v>
      </c>
      <c r="Q196" s="257">
        <v>100</v>
      </c>
    </row>
    <row r="197" spans="1:17" s="12" customFormat="1" ht="63">
      <c r="A197" s="8" t="s">
        <v>524</v>
      </c>
      <c r="B197" s="10" t="s">
        <v>501</v>
      </c>
      <c r="C197" s="10" t="s">
        <v>14</v>
      </c>
      <c r="D197" s="10" t="s">
        <v>14</v>
      </c>
      <c r="E197" s="10" t="s">
        <v>411</v>
      </c>
      <c r="F197" s="10"/>
      <c r="G197" s="11">
        <v>2448.4</v>
      </c>
      <c r="H197" s="11">
        <v>8250</v>
      </c>
      <c r="I197" s="7">
        <f>I198</f>
        <v>0</v>
      </c>
      <c r="J197" s="7">
        <f t="shared" ref="J197:M197" si="82">J198+J199</f>
        <v>8250</v>
      </c>
      <c r="K197" s="7">
        <f t="shared" si="82"/>
        <v>3729.4</v>
      </c>
      <c r="L197" s="7">
        <f t="shared" si="82"/>
        <v>11979.4</v>
      </c>
      <c r="M197" s="7">
        <f t="shared" si="82"/>
        <v>500</v>
      </c>
      <c r="N197" s="7">
        <v>12479.4</v>
      </c>
      <c r="O197" s="7">
        <v>12479.4</v>
      </c>
      <c r="P197" s="349">
        <v>12479.4</v>
      </c>
      <c r="Q197" s="257">
        <v>100</v>
      </c>
    </row>
    <row r="198" spans="1:17" s="12" customFormat="1" ht="47.25">
      <c r="A198" s="8" t="s">
        <v>360</v>
      </c>
      <c r="B198" s="10" t="s">
        <v>501</v>
      </c>
      <c r="C198" s="10" t="s">
        <v>14</v>
      </c>
      <c r="D198" s="10" t="s">
        <v>14</v>
      </c>
      <c r="E198" s="10" t="s">
        <v>411</v>
      </c>
      <c r="F198" s="10" t="s">
        <v>359</v>
      </c>
      <c r="G198" s="11">
        <v>2448.4</v>
      </c>
      <c r="H198" s="31">
        <v>8250</v>
      </c>
      <c r="I198" s="7"/>
      <c r="J198" s="7">
        <f>H198+I198</f>
        <v>8250</v>
      </c>
      <c r="K198" s="7">
        <v>350.5</v>
      </c>
      <c r="L198" s="7">
        <f>J198+K198</f>
        <v>8600.5</v>
      </c>
      <c r="M198" s="7">
        <v>500</v>
      </c>
      <c r="N198" s="7">
        <v>9100.5</v>
      </c>
      <c r="O198" s="7">
        <v>9100.5</v>
      </c>
      <c r="P198" s="349">
        <v>9100.5</v>
      </c>
      <c r="Q198" s="257">
        <v>100</v>
      </c>
    </row>
    <row r="199" spans="1:17" s="12" customFormat="1">
      <c r="A199" s="8" t="s">
        <v>373</v>
      </c>
      <c r="B199" s="10" t="s">
        <v>501</v>
      </c>
      <c r="C199" s="10" t="s">
        <v>14</v>
      </c>
      <c r="D199" s="10" t="s">
        <v>14</v>
      </c>
      <c r="E199" s="10" t="s">
        <v>411</v>
      </c>
      <c r="F199" s="10" t="s">
        <v>372</v>
      </c>
      <c r="G199" s="11"/>
      <c r="H199" s="31"/>
      <c r="I199" s="7"/>
      <c r="J199" s="7"/>
      <c r="K199" s="7">
        <v>3378.9</v>
      </c>
      <c r="L199" s="7">
        <f>J199+K199</f>
        <v>3378.9</v>
      </c>
      <c r="M199" s="7"/>
      <c r="N199" s="7">
        <v>3378.9</v>
      </c>
      <c r="O199" s="7">
        <v>3378.9</v>
      </c>
      <c r="P199" s="349">
        <v>3378.9</v>
      </c>
      <c r="Q199" s="257">
        <v>100</v>
      </c>
    </row>
    <row r="200" spans="1:17" s="12" customFormat="1" ht="47.25">
      <c r="A200" s="8" t="s">
        <v>525</v>
      </c>
      <c r="B200" s="10" t="s">
        <v>501</v>
      </c>
      <c r="C200" s="10" t="s">
        <v>14</v>
      </c>
      <c r="D200" s="10" t="s">
        <v>14</v>
      </c>
      <c r="E200" s="10" t="s">
        <v>413</v>
      </c>
      <c r="F200" s="10"/>
      <c r="G200" s="11">
        <v>2984.1</v>
      </c>
      <c r="H200" s="11">
        <v>41685.599999999999</v>
      </c>
      <c r="I200" s="7">
        <f t="shared" ref="I200:M200" si="83">I201</f>
        <v>0</v>
      </c>
      <c r="J200" s="7">
        <f t="shared" si="83"/>
        <v>41685.599999999999</v>
      </c>
      <c r="K200" s="7">
        <f t="shared" si="83"/>
        <v>386</v>
      </c>
      <c r="L200" s="7">
        <f t="shared" si="83"/>
        <v>42071.6</v>
      </c>
      <c r="M200" s="7">
        <f t="shared" si="83"/>
        <v>1900</v>
      </c>
      <c r="N200" s="7">
        <v>43971.6</v>
      </c>
      <c r="O200" s="7">
        <v>43971.6</v>
      </c>
      <c r="P200" s="349">
        <v>43971.6</v>
      </c>
      <c r="Q200" s="257">
        <v>100</v>
      </c>
    </row>
    <row r="201" spans="1:17" s="12" customFormat="1" ht="63">
      <c r="A201" s="8" t="s">
        <v>377</v>
      </c>
      <c r="B201" s="10" t="s">
        <v>501</v>
      </c>
      <c r="C201" s="10" t="s">
        <v>14</v>
      </c>
      <c r="D201" s="10" t="s">
        <v>14</v>
      </c>
      <c r="E201" s="10" t="s">
        <v>413</v>
      </c>
      <c r="F201" s="10" t="s">
        <v>355</v>
      </c>
      <c r="G201" s="11">
        <v>2984.1</v>
      </c>
      <c r="H201" s="31">
        <v>41685.599999999999</v>
      </c>
      <c r="I201" s="7"/>
      <c r="J201" s="7">
        <f>H201+I201</f>
        <v>41685.599999999999</v>
      </c>
      <c r="K201" s="7">
        <v>386</v>
      </c>
      <c r="L201" s="7">
        <f>J201+K201</f>
        <v>42071.6</v>
      </c>
      <c r="M201" s="7">
        <f>400+1500</f>
        <v>1900</v>
      </c>
      <c r="N201" s="7">
        <v>43971.6</v>
      </c>
      <c r="O201" s="7">
        <v>43971.6</v>
      </c>
      <c r="P201" s="349">
        <v>43971.6</v>
      </c>
      <c r="Q201" s="257">
        <v>100</v>
      </c>
    </row>
    <row r="202" spans="1:17" s="12" customFormat="1" ht="47.25">
      <c r="A202" s="8" t="s">
        <v>414</v>
      </c>
      <c r="B202" s="10" t="s">
        <v>501</v>
      </c>
      <c r="C202" s="10" t="s">
        <v>14</v>
      </c>
      <c r="D202" s="10" t="s">
        <v>14</v>
      </c>
      <c r="E202" s="10" t="s">
        <v>415</v>
      </c>
      <c r="F202" s="10"/>
      <c r="G202" s="11">
        <v>5200.8999999999996</v>
      </c>
      <c r="H202" s="11">
        <v>15001.8</v>
      </c>
      <c r="I202" s="7">
        <f t="shared" ref="I202:M202" si="84">I203</f>
        <v>0</v>
      </c>
      <c r="J202" s="7">
        <f t="shared" si="84"/>
        <v>15001.8</v>
      </c>
      <c r="K202" s="7">
        <f t="shared" si="84"/>
        <v>97.1</v>
      </c>
      <c r="L202" s="7">
        <f t="shared" si="84"/>
        <v>15098.9</v>
      </c>
      <c r="M202" s="7">
        <f t="shared" si="84"/>
        <v>0</v>
      </c>
      <c r="N202" s="7">
        <v>15098.9</v>
      </c>
      <c r="O202" s="7">
        <v>15098.9</v>
      </c>
      <c r="P202" s="349">
        <v>15098.9</v>
      </c>
      <c r="Q202" s="257">
        <v>100</v>
      </c>
    </row>
    <row r="203" spans="1:17" s="12" customFormat="1" ht="63">
      <c r="A203" s="8" t="s">
        <v>377</v>
      </c>
      <c r="B203" s="10" t="s">
        <v>501</v>
      </c>
      <c r="C203" s="10" t="s">
        <v>14</v>
      </c>
      <c r="D203" s="10" t="s">
        <v>14</v>
      </c>
      <c r="E203" s="10" t="s">
        <v>415</v>
      </c>
      <c r="F203" s="10" t="s">
        <v>355</v>
      </c>
      <c r="G203" s="11">
        <v>5200.8999999999996</v>
      </c>
      <c r="H203" s="31">
        <v>15001.8</v>
      </c>
      <c r="I203" s="7"/>
      <c r="J203" s="7">
        <f>H203+I203</f>
        <v>15001.8</v>
      </c>
      <c r="K203" s="7">
        <v>97.1</v>
      </c>
      <c r="L203" s="7">
        <f>J203+K203</f>
        <v>15098.9</v>
      </c>
      <c r="M203" s="7"/>
      <c r="N203" s="7">
        <v>15098.9</v>
      </c>
      <c r="O203" s="7">
        <v>15098.9</v>
      </c>
      <c r="P203" s="349">
        <v>15098.9</v>
      </c>
      <c r="Q203" s="257">
        <v>100</v>
      </c>
    </row>
    <row r="204" spans="1:17" s="12" customFormat="1" ht="31.5">
      <c r="A204" s="8" t="s">
        <v>712</v>
      </c>
      <c r="B204" s="10" t="s">
        <v>501</v>
      </c>
      <c r="C204" s="10" t="s">
        <v>14</v>
      </c>
      <c r="D204" s="10" t="s">
        <v>14</v>
      </c>
      <c r="E204" s="10" t="s">
        <v>608</v>
      </c>
      <c r="F204" s="10"/>
      <c r="G204" s="11">
        <v>10500</v>
      </c>
      <c r="H204" s="11">
        <v>10500</v>
      </c>
      <c r="I204" s="7">
        <f t="shared" ref="I204:M204" si="85">I205+I207+I209+I211+I213+I215+I217+I219</f>
        <v>2128.8000000000002</v>
      </c>
      <c r="J204" s="7">
        <f t="shared" si="85"/>
        <v>12628.8</v>
      </c>
      <c r="K204" s="7">
        <f t="shared" si="85"/>
        <v>2192.1</v>
      </c>
      <c r="L204" s="7">
        <f t="shared" si="85"/>
        <v>14820.9</v>
      </c>
      <c r="M204" s="7">
        <f t="shared" si="85"/>
        <v>0</v>
      </c>
      <c r="N204" s="7">
        <v>14820.9</v>
      </c>
      <c r="O204" s="7">
        <v>14820.9</v>
      </c>
      <c r="P204" s="349">
        <v>14820.9</v>
      </c>
      <c r="Q204" s="257">
        <v>100</v>
      </c>
    </row>
    <row r="205" spans="1:17" s="12" customFormat="1">
      <c r="A205" s="8" t="s">
        <v>609</v>
      </c>
      <c r="B205" s="10" t="s">
        <v>501</v>
      </c>
      <c r="C205" s="10" t="s">
        <v>14</v>
      </c>
      <c r="D205" s="10" t="s">
        <v>14</v>
      </c>
      <c r="E205" s="10" t="s">
        <v>610</v>
      </c>
      <c r="F205" s="10"/>
      <c r="G205" s="11">
        <v>500</v>
      </c>
      <c r="H205" s="11">
        <v>500</v>
      </c>
      <c r="I205" s="7">
        <f t="shared" ref="I205:M205" si="86">I206</f>
        <v>3.1</v>
      </c>
      <c r="J205" s="7">
        <f t="shared" si="86"/>
        <v>503.1</v>
      </c>
      <c r="K205" s="7">
        <f t="shared" si="86"/>
        <v>0</v>
      </c>
      <c r="L205" s="7">
        <f t="shared" si="86"/>
        <v>503.1</v>
      </c>
      <c r="M205" s="7">
        <f t="shared" si="86"/>
        <v>0</v>
      </c>
      <c r="N205" s="7">
        <v>503.1</v>
      </c>
      <c r="O205" s="7">
        <v>503.1</v>
      </c>
      <c r="P205" s="349">
        <v>503.1</v>
      </c>
      <c r="Q205" s="257">
        <v>100</v>
      </c>
    </row>
    <row r="206" spans="1:17" s="12" customFormat="1">
      <c r="A206" s="8" t="s">
        <v>362</v>
      </c>
      <c r="B206" s="10" t="s">
        <v>501</v>
      </c>
      <c r="C206" s="10" t="s">
        <v>14</v>
      </c>
      <c r="D206" s="10" t="s">
        <v>14</v>
      </c>
      <c r="E206" s="10" t="s">
        <v>610</v>
      </c>
      <c r="F206" s="10" t="s">
        <v>334</v>
      </c>
      <c r="G206" s="11">
        <v>500</v>
      </c>
      <c r="H206" s="31">
        <v>500</v>
      </c>
      <c r="I206" s="7">
        <v>3.1</v>
      </c>
      <c r="J206" s="7">
        <f>H206+I206</f>
        <v>503.1</v>
      </c>
      <c r="K206" s="7"/>
      <c r="L206" s="7">
        <f>J206+K206</f>
        <v>503.1</v>
      </c>
      <c r="M206" s="7"/>
      <c r="N206" s="7">
        <v>503.1</v>
      </c>
      <c r="O206" s="7">
        <v>503.1</v>
      </c>
      <c r="P206" s="349">
        <v>503.1</v>
      </c>
      <c r="Q206" s="257">
        <v>100</v>
      </c>
    </row>
    <row r="207" spans="1:17" s="12" customFormat="1">
      <c r="A207" s="8" t="s">
        <v>611</v>
      </c>
      <c r="B207" s="10" t="s">
        <v>501</v>
      </c>
      <c r="C207" s="10" t="s">
        <v>14</v>
      </c>
      <c r="D207" s="10" t="s">
        <v>14</v>
      </c>
      <c r="E207" s="10" t="s">
        <v>612</v>
      </c>
      <c r="F207" s="10"/>
      <c r="G207" s="11">
        <v>500</v>
      </c>
      <c r="H207" s="11">
        <v>500</v>
      </c>
      <c r="I207" s="7">
        <f t="shared" ref="I207:M207" si="87">I208</f>
        <v>1154.5999999999999</v>
      </c>
      <c r="J207" s="7">
        <f t="shared" si="87"/>
        <v>1654.6</v>
      </c>
      <c r="K207" s="7">
        <f t="shared" si="87"/>
        <v>0</v>
      </c>
      <c r="L207" s="7">
        <f t="shared" si="87"/>
        <v>1654.6</v>
      </c>
      <c r="M207" s="7">
        <f t="shared" si="87"/>
        <v>0</v>
      </c>
      <c r="N207" s="7">
        <v>1654.6</v>
      </c>
      <c r="O207" s="7">
        <v>1654.6</v>
      </c>
      <c r="P207" s="349">
        <v>1654.6</v>
      </c>
      <c r="Q207" s="257">
        <v>100</v>
      </c>
    </row>
    <row r="208" spans="1:17" s="12" customFormat="1">
      <c r="A208" s="8" t="s">
        <v>362</v>
      </c>
      <c r="B208" s="10" t="s">
        <v>501</v>
      </c>
      <c r="C208" s="10" t="s">
        <v>14</v>
      </c>
      <c r="D208" s="10" t="s">
        <v>14</v>
      </c>
      <c r="E208" s="10" t="s">
        <v>612</v>
      </c>
      <c r="F208" s="10" t="s">
        <v>334</v>
      </c>
      <c r="G208" s="11">
        <v>500</v>
      </c>
      <c r="H208" s="31">
        <v>500</v>
      </c>
      <c r="I208" s="7">
        <v>1154.5999999999999</v>
      </c>
      <c r="J208" s="7">
        <f>H208+I208</f>
        <v>1654.6</v>
      </c>
      <c r="K208" s="7"/>
      <c r="L208" s="7">
        <f>J208+K208</f>
        <v>1654.6</v>
      </c>
      <c r="M208" s="7"/>
      <c r="N208" s="7">
        <v>1654.6</v>
      </c>
      <c r="O208" s="7">
        <v>1654.6</v>
      </c>
      <c r="P208" s="349">
        <v>1654.6</v>
      </c>
      <c r="Q208" s="257">
        <v>100</v>
      </c>
    </row>
    <row r="209" spans="1:17" s="12" customFormat="1">
      <c r="A209" s="42" t="s">
        <v>613</v>
      </c>
      <c r="B209" s="10" t="s">
        <v>501</v>
      </c>
      <c r="C209" s="10" t="s">
        <v>14</v>
      </c>
      <c r="D209" s="10" t="s">
        <v>14</v>
      </c>
      <c r="E209" s="10" t="s">
        <v>614</v>
      </c>
      <c r="F209" s="10"/>
      <c r="G209" s="11">
        <v>7000</v>
      </c>
      <c r="H209" s="11">
        <v>7000</v>
      </c>
      <c r="I209" s="7">
        <f t="shared" ref="I209:M209" si="88">I210</f>
        <v>0</v>
      </c>
      <c r="J209" s="7">
        <f t="shared" si="88"/>
        <v>7000</v>
      </c>
      <c r="K209" s="7">
        <f t="shared" si="88"/>
        <v>2412</v>
      </c>
      <c r="L209" s="7">
        <f t="shared" si="88"/>
        <v>9412</v>
      </c>
      <c r="M209" s="7">
        <f t="shared" si="88"/>
        <v>0</v>
      </c>
      <c r="N209" s="7">
        <v>9412</v>
      </c>
      <c r="O209" s="7">
        <v>9412</v>
      </c>
      <c r="P209" s="349">
        <v>9412</v>
      </c>
      <c r="Q209" s="257">
        <v>100</v>
      </c>
    </row>
    <row r="210" spans="1:17" s="12" customFormat="1">
      <c r="A210" s="8" t="s">
        <v>362</v>
      </c>
      <c r="B210" s="10" t="s">
        <v>501</v>
      </c>
      <c r="C210" s="10" t="s">
        <v>14</v>
      </c>
      <c r="D210" s="10" t="s">
        <v>14</v>
      </c>
      <c r="E210" s="10" t="s">
        <v>614</v>
      </c>
      <c r="F210" s="10" t="s">
        <v>334</v>
      </c>
      <c r="G210" s="11">
        <v>7000</v>
      </c>
      <c r="H210" s="31">
        <v>7000</v>
      </c>
      <c r="I210" s="7"/>
      <c r="J210" s="7">
        <f>H210+I210</f>
        <v>7000</v>
      </c>
      <c r="K210" s="7">
        <v>2412</v>
      </c>
      <c r="L210" s="7">
        <f>J210+K210</f>
        <v>9412</v>
      </c>
      <c r="M210" s="7"/>
      <c r="N210" s="7">
        <v>9412</v>
      </c>
      <c r="O210" s="7">
        <v>9412</v>
      </c>
      <c r="P210" s="349">
        <v>9412</v>
      </c>
      <c r="Q210" s="257">
        <v>100</v>
      </c>
    </row>
    <row r="211" spans="1:17" s="21" customFormat="1" ht="47.25">
      <c r="A211" s="42" t="s">
        <v>617</v>
      </c>
      <c r="B211" s="10" t="s">
        <v>501</v>
      </c>
      <c r="C211" s="10" t="s">
        <v>14</v>
      </c>
      <c r="D211" s="10" t="s">
        <v>14</v>
      </c>
      <c r="E211" s="10" t="s">
        <v>618</v>
      </c>
      <c r="F211" s="10"/>
      <c r="G211" s="11">
        <v>700</v>
      </c>
      <c r="H211" s="11">
        <v>700</v>
      </c>
      <c r="I211" s="7">
        <f t="shared" ref="I211:M211" si="89">I212</f>
        <v>0</v>
      </c>
      <c r="J211" s="7">
        <f t="shared" si="89"/>
        <v>700</v>
      </c>
      <c r="K211" s="7">
        <f t="shared" si="89"/>
        <v>0</v>
      </c>
      <c r="L211" s="7">
        <f t="shared" si="89"/>
        <v>700</v>
      </c>
      <c r="M211" s="7">
        <f t="shared" si="89"/>
        <v>0</v>
      </c>
      <c r="N211" s="7">
        <v>700</v>
      </c>
      <c r="O211" s="7">
        <v>700</v>
      </c>
      <c r="P211" s="349">
        <v>700</v>
      </c>
      <c r="Q211" s="257">
        <v>100</v>
      </c>
    </row>
    <row r="212" spans="1:17" s="12" customFormat="1">
      <c r="A212" s="8" t="s">
        <v>362</v>
      </c>
      <c r="B212" s="10" t="s">
        <v>501</v>
      </c>
      <c r="C212" s="10" t="s">
        <v>14</v>
      </c>
      <c r="D212" s="10" t="s">
        <v>14</v>
      </c>
      <c r="E212" s="10" t="s">
        <v>618</v>
      </c>
      <c r="F212" s="10" t="s">
        <v>334</v>
      </c>
      <c r="G212" s="11">
        <v>700</v>
      </c>
      <c r="H212" s="31">
        <v>700</v>
      </c>
      <c r="I212" s="7"/>
      <c r="J212" s="7">
        <f>H212+I212</f>
        <v>700</v>
      </c>
      <c r="K212" s="7"/>
      <c r="L212" s="7">
        <f>J212+K212</f>
        <v>700</v>
      </c>
      <c r="M212" s="7"/>
      <c r="N212" s="7">
        <v>700</v>
      </c>
      <c r="O212" s="7">
        <v>700</v>
      </c>
      <c r="P212" s="349">
        <v>700</v>
      </c>
      <c r="Q212" s="257">
        <v>100</v>
      </c>
    </row>
    <row r="213" spans="1:17" s="21" customFormat="1" ht="31.5">
      <c r="A213" s="42" t="s">
        <v>615</v>
      </c>
      <c r="B213" s="10" t="s">
        <v>501</v>
      </c>
      <c r="C213" s="10" t="s">
        <v>14</v>
      </c>
      <c r="D213" s="10" t="s">
        <v>14</v>
      </c>
      <c r="E213" s="10" t="s">
        <v>616</v>
      </c>
      <c r="F213" s="10"/>
      <c r="G213" s="11">
        <v>500</v>
      </c>
      <c r="H213" s="11">
        <v>500</v>
      </c>
      <c r="I213" s="7">
        <f t="shared" ref="I213:M213" si="90">I214</f>
        <v>449.9</v>
      </c>
      <c r="J213" s="7">
        <f t="shared" si="90"/>
        <v>949.9</v>
      </c>
      <c r="K213" s="7">
        <f t="shared" si="90"/>
        <v>0</v>
      </c>
      <c r="L213" s="7">
        <f t="shared" si="90"/>
        <v>949.9</v>
      </c>
      <c r="M213" s="7">
        <f t="shared" si="90"/>
        <v>0</v>
      </c>
      <c r="N213" s="7">
        <v>949.9</v>
      </c>
      <c r="O213" s="7">
        <v>949.9</v>
      </c>
      <c r="P213" s="349">
        <v>949.9</v>
      </c>
      <c r="Q213" s="257">
        <v>100</v>
      </c>
    </row>
    <row r="214" spans="1:17" s="12" customFormat="1">
      <c r="A214" s="8" t="s">
        <v>362</v>
      </c>
      <c r="B214" s="10" t="s">
        <v>501</v>
      </c>
      <c r="C214" s="10" t="s">
        <v>14</v>
      </c>
      <c r="D214" s="10" t="s">
        <v>14</v>
      </c>
      <c r="E214" s="10" t="s">
        <v>616</v>
      </c>
      <c r="F214" s="10" t="s">
        <v>334</v>
      </c>
      <c r="G214" s="11">
        <v>500</v>
      </c>
      <c r="H214" s="31">
        <v>500</v>
      </c>
      <c r="I214" s="7">
        <v>449.9</v>
      </c>
      <c r="J214" s="7">
        <f>H214+I214</f>
        <v>949.9</v>
      </c>
      <c r="K214" s="7"/>
      <c r="L214" s="7">
        <f>J214+K214</f>
        <v>949.9</v>
      </c>
      <c r="M214" s="7"/>
      <c r="N214" s="7">
        <v>949.9</v>
      </c>
      <c r="O214" s="7">
        <v>949.9</v>
      </c>
      <c r="P214" s="349">
        <v>949.9</v>
      </c>
      <c r="Q214" s="257">
        <v>100</v>
      </c>
    </row>
    <row r="215" spans="1:17" s="21" customFormat="1" ht="31.5">
      <c r="A215" s="42" t="s">
        <v>619</v>
      </c>
      <c r="B215" s="10" t="s">
        <v>501</v>
      </c>
      <c r="C215" s="10" t="s">
        <v>14</v>
      </c>
      <c r="D215" s="10" t="s">
        <v>14</v>
      </c>
      <c r="E215" s="10" t="s">
        <v>620</v>
      </c>
      <c r="F215" s="10"/>
      <c r="G215" s="11">
        <v>300</v>
      </c>
      <c r="H215" s="11">
        <v>300</v>
      </c>
      <c r="I215" s="7">
        <f t="shared" ref="I215:M215" si="91">I216</f>
        <v>103.3</v>
      </c>
      <c r="J215" s="7">
        <f t="shared" si="91"/>
        <v>403.3</v>
      </c>
      <c r="K215" s="7">
        <f t="shared" si="91"/>
        <v>0</v>
      </c>
      <c r="L215" s="7">
        <f t="shared" si="91"/>
        <v>403.3</v>
      </c>
      <c r="M215" s="7">
        <f t="shared" si="91"/>
        <v>0</v>
      </c>
      <c r="N215" s="7">
        <v>403.3</v>
      </c>
      <c r="O215" s="7">
        <v>403.3</v>
      </c>
      <c r="P215" s="349">
        <v>403.3</v>
      </c>
      <c r="Q215" s="257">
        <v>100</v>
      </c>
    </row>
    <row r="216" spans="1:17" s="12" customFormat="1">
      <c r="A216" s="8" t="s">
        <v>362</v>
      </c>
      <c r="B216" s="10" t="s">
        <v>501</v>
      </c>
      <c r="C216" s="10" t="s">
        <v>14</v>
      </c>
      <c r="D216" s="10" t="s">
        <v>14</v>
      </c>
      <c r="E216" s="10" t="s">
        <v>620</v>
      </c>
      <c r="F216" s="10" t="s">
        <v>334</v>
      </c>
      <c r="G216" s="11">
        <v>300</v>
      </c>
      <c r="H216" s="31">
        <v>300</v>
      </c>
      <c r="I216" s="7">
        <v>103.3</v>
      </c>
      <c r="J216" s="7">
        <f>H216+I216</f>
        <v>403.3</v>
      </c>
      <c r="K216" s="7"/>
      <c r="L216" s="7">
        <f>J216+K216</f>
        <v>403.3</v>
      </c>
      <c r="M216" s="7"/>
      <c r="N216" s="7">
        <v>403.3</v>
      </c>
      <c r="O216" s="7">
        <v>403.3</v>
      </c>
      <c r="P216" s="349">
        <v>403.3</v>
      </c>
      <c r="Q216" s="257">
        <v>100</v>
      </c>
    </row>
    <row r="217" spans="1:17" s="21" customFormat="1" ht="47.25">
      <c r="A217" s="42" t="s">
        <v>621</v>
      </c>
      <c r="B217" s="10" t="s">
        <v>501</v>
      </c>
      <c r="C217" s="10" t="s">
        <v>14</v>
      </c>
      <c r="D217" s="10" t="s">
        <v>14</v>
      </c>
      <c r="E217" s="10" t="s">
        <v>622</v>
      </c>
      <c r="F217" s="10"/>
      <c r="G217" s="11">
        <v>700</v>
      </c>
      <c r="H217" s="11">
        <v>700</v>
      </c>
      <c r="I217" s="7">
        <f t="shared" ref="I217:M217" si="92">I218</f>
        <v>417.9</v>
      </c>
      <c r="J217" s="7">
        <f t="shared" si="92"/>
        <v>1117.9000000000001</v>
      </c>
      <c r="K217" s="7">
        <f t="shared" si="92"/>
        <v>-277.89999999999998</v>
      </c>
      <c r="L217" s="7">
        <f t="shared" si="92"/>
        <v>840</v>
      </c>
      <c r="M217" s="7">
        <f t="shared" si="92"/>
        <v>0</v>
      </c>
      <c r="N217" s="7">
        <v>840</v>
      </c>
      <c r="O217" s="7">
        <v>840</v>
      </c>
      <c r="P217" s="349">
        <v>840</v>
      </c>
      <c r="Q217" s="257">
        <v>100</v>
      </c>
    </row>
    <row r="218" spans="1:17" s="12" customFormat="1">
      <c r="A218" s="8" t="s">
        <v>362</v>
      </c>
      <c r="B218" s="10" t="s">
        <v>501</v>
      </c>
      <c r="C218" s="10" t="s">
        <v>14</v>
      </c>
      <c r="D218" s="10" t="s">
        <v>14</v>
      </c>
      <c r="E218" s="10" t="s">
        <v>622</v>
      </c>
      <c r="F218" s="10" t="s">
        <v>334</v>
      </c>
      <c r="G218" s="11">
        <v>700</v>
      </c>
      <c r="H218" s="31">
        <v>700</v>
      </c>
      <c r="I218" s="7">
        <v>417.9</v>
      </c>
      <c r="J218" s="7">
        <f>H218+I218</f>
        <v>1117.9000000000001</v>
      </c>
      <c r="K218" s="7">
        <v>-277.89999999999998</v>
      </c>
      <c r="L218" s="7">
        <f>J218+K218</f>
        <v>840</v>
      </c>
      <c r="M218" s="7"/>
      <c r="N218" s="7">
        <v>840</v>
      </c>
      <c r="O218" s="7">
        <v>840</v>
      </c>
      <c r="P218" s="349">
        <v>840</v>
      </c>
      <c r="Q218" s="257">
        <v>100</v>
      </c>
    </row>
    <row r="219" spans="1:17" s="12" customFormat="1">
      <c r="A219" s="42" t="s">
        <v>623</v>
      </c>
      <c r="B219" s="10" t="s">
        <v>501</v>
      </c>
      <c r="C219" s="10" t="s">
        <v>14</v>
      </c>
      <c r="D219" s="10" t="s">
        <v>14</v>
      </c>
      <c r="E219" s="10" t="s">
        <v>624</v>
      </c>
      <c r="F219" s="10"/>
      <c r="G219" s="11">
        <v>300</v>
      </c>
      <c r="H219" s="11">
        <v>300</v>
      </c>
      <c r="I219" s="7">
        <f t="shared" ref="I219:M219" si="93">I220</f>
        <v>0</v>
      </c>
      <c r="J219" s="7">
        <f t="shared" si="93"/>
        <v>300</v>
      </c>
      <c r="K219" s="7">
        <f t="shared" si="93"/>
        <v>58</v>
      </c>
      <c r="L219" s="7">
        <f t="shared" si="93"/>
        <v>358</v>
      </c>
      <c r="M219" s="7">
        <f t="shared" si="93"/>
        <v>0</v>
      </c>
      <c r="N219" s="7">
        <v>358</v>
      </c>
      <c r="O219" s="7">
        <v>358</v>
      </c>
      <c r="P219" s="349">
        <v>358</v>
      </c>
      <c r="Q219" s="257">
        <v>100</v>
      </c>
    </row>
    <row r="220" spans="1:17" s="12" customFormat="1">
      <c r="A220" s="8" t="s">
        <v>362</v>
      </c>
      <c r="B220" s="10" t="s">
        <v>501</v>
      </c>
      <c r="C220" s="10" t="s">
        <v>14</v>
      </c>
      <c r="D220" s="10" t="s">
        <v>14</v>
      </c>
      <c r="E220" s="10" t="s">
        <v>624</v>
      </c>
      <c r="F220" s="10" t="s">
        <v>334</v>
      </c>
      <c r="G220" s="11">
        <v>300</v>
      </c>
      <c r="H220" s="31">
        <v>300</v>
      </c>
      <c r="I220" s="7"/>
      <c r="J220" s="7">
        <f>H220+I220</f>
        <v>300</v>
      </c>
      <c r="K220" s="7">
        <v>58</v>
      </c>
      <c r="L220" s="7">
        <f>J220+K220</f>
        <v>358</v>
      </c>
      <c r="M220" s="7"/>
      <c r="N220" s="7">
        <v>358</v>
      </c>
      <c r="O220" s="7">
        <v>358</v>
      </c>
      <c r="P220" s="349">
        <v>358</v>
      </c>
      <c r="Q220" s="257">
        <v>100</v>
      </c>
    </row>
    <row r="221" spans="1:17" s="12" customFormat="1" ht="31.5">
      <c r="A221" s="8" t="s">
        <v>911</v>
      </c>
      <c r="B221" s="10" t="s">
        <v>501</v>
      </c>
      <c r="C221" s="10" t="s">
        <v>14</v>
      </c>
      <c r="D221" s="10" t="s">
        <v>14</v>
      </c>
      <c r="E221" s="10" t="s">
        <v>625</v>
      </c>
      <c r="F221" s="10"/>
      <c r="G221" s="11">
        <v>9000</v>
      </c>
      <c r="H221" s="11">
        <v>9000</v>
      </c>
      <c r="I221" s="7" t="e">
        <f>#REF!+I222</f>
        <v>#REF!</v>
      </c>
      <c r="J221" s="7">
        <f t="shared" ref="J221:M221" si="94">J222+J223</f>
        <v>23240.6</v>
      </c>
      <c r="K221" s="7">
        <f t="shared" si="94"/>
        <v>10522.2</v>
      </c>
      <c r="L221" s="7">
        <f t="shared" si="94"/>
        <v>33762.800000000003</v>
      </c>
      <c r="M221" s="7">
        <f t="shared" si="94"/>
        <v>0</v>
      </c>
      <c r="N221" s="7">
        <v>33762.800000000003</v>
      </c>
      <c r="O221" s="7">
        <v>33762.800000000003</v>
      </c>
      <c r="P221" s="349">
        <v>33762.800000000003</v>
      </c>
      <c r="Q221" s="257">
        <v>100</v>
      </c>
    </row>
    <row r="222" spans="1:17" s="12" customFormat="1" ht="47.25">
      <c r="A222" s="8" t="s">
        <v>338</v>
      </c>
      <c r="B222" s="10" t="s">
        <v>501</v>
      </c>
      <c r="C222" s="10" t="s">
        <v>14</v>
      </c>
      <c r="D222" s="10" t="s">
        <v>14</v>
      </c>
      <c r="E222" s="10" t="s">
        <v>625</v>
      </c>
      <c r="F222" s="10" t="s">
        <v>333</v>
      </c>
      <c r="G222" s="11"/>
      <c r="H222" s="11"/>
      <c r="I222" s="7">
        <f>350+13024.6+9866</f>
        <v>23240.6</v>
      </c>
      <c r="J222" s="7">
        <f>H222+I222</f>
        <v>23240.6</v>
      </c>
      <c r="K222" s="7"/>
      <c r="L222" s="7">
        <f>J222+K222</f>
        <v>23240.6</v>
      </c>
      <c r="M222" s="7"/>
      <c r="N222" s="7">
        <v>23240.6</v>
      </c>
      <c r="O222" s="7">
        <v>23240.6</v>
      </c>
      <c r="P222" s="349">
        <v>23240.6</v>
      </c>
      <c r="Q222" s="257">
        <v>100</v>
      </c>
    </row>
    <row r="223" spans="1:17" s="12" customFormat="1">
      <c r="A223" s="8" t="s">
        <v>362</v>
      </c>
      <c r="B223" s="10" t="s">
        <v>501</v>
      </c>
      <c r="C223" s="10" t="s">
        <v>14</v>
      </c>
      <c r="D223" s="10" t="s">
        <v>14</v>
      </c>
      <c r="E223" s="10" t="s">
        <v>625</v>
      </c>
      <c r="F223" s="10" t="s">
        <v>334</v>
      </c>
      <c r="G223" s="11"/>
      <c r="H223" s="11"/>
      <c r="I223" s="7"/>
      <c r="J223" s="7"/>
      <c r="K223" s="7">
        <v>10522.2</v>
      </c>
      <c r="L223" s="7">
        <f>J223+K223</f>
        <v>10522.2</v>
      </c>
      <c r="M223" s="7"/>
      <c r="N223" s="7">
        <v>10522.2</v>
      </c>
      <c r="O223" s="7">
        <v>10522.2</v>
      </c>
      <c r="P223" s="349">
        <v>10522.2</v>
      </c>
      <c r="Q223" s="257">
        <v>100</v>
      </c>
    </row>
    <row r="224" spans="1:17" s="12" customFormat="1" ht="78.75">
      <c r="A224" s="8" t="s">
        <v>528</v>
      </c>
      <c r="B224" s="10" t="s">
        <v>501</v>
      </c>
      <c r="C224" s="10" t="s">
        <v>14</v>
      </c>
      <c r="D224" s="10" t="s">
        <v>14</v>
      </c>
      <c r="E224" s="10" t="s">
        <v>328</v>
      </c>
      <c r="F224" s="10"/>
      <c r="G224" s="11">
        <v>500</v>
      </c>
      <c r="H224" s="31">
        <v>500</v>
      </c>
      <c r="I224" s="7">
        <f t="shared" ref="I224:M224" si="95">I225</f>
        <v>0</v>
      </c>
      <c r="J224" s="7">
        <f t="shared" si="95"/>
        <v>500</v>
      </c>
      <c r="K224" s="7">
        <f t="shared" si="95"/>
        <v>0</v>
      </c>
      <c r="L224" s="7">
        <f t="shared" si="95"/>
        <v>500</v>
      </c>
      <c r="M224" s="7">
        <f t="shared" si="95"/>
        <v>0</v>
      </c>
      <c r="N224" s="7">
        <v>500</v>
      </c>
      <c r="O224" s="7">
        <v>500</v>
      </c>
      <c r="P224" s="349">
        <v>500</v>
      </c>
      <c r="Q224" s="257">
        <v>100</v>
      </c>
    </row>
    <row r="225" spans="1:17" s="12" customFormat="1">
      <c r="A225" s="8" t="s">
        <v>362</v>
      </c>
      <c r="B225" s="10" t="s">
        <v>501</v>
      </c>
      <c r="C225" s="10" t="s">
        <v>14</v>
      </c>
      <c r="D225" s="10" t="s">
        <v>14</v>
      </c>
      <c r="E225" s="10" t="s">
        <v>328</v>
      </c>
      <c r="F225" s="10" t="s">
        <v>334</v>
      </c>
      <c r="G225" s="11">
        <v>500</v>
      </c>
      <c r="H225" s="31">
        <v>500</v>
      </c>
      <c r="I225" s="7"/>
      <c r="J225" s="7">
        <f>H225+I225</f>
        <v>500</v>
      </c>
      <c r="K225" s="7"/>
      <c r="L225" s="7">
        <f>J225+K225</f>
        <v>500</v>
      </c>
      <c r="M225" s="7"/>
      <c r="N225" s="7">
        <v>500</v>
      </c>
      <c r="O225" s="7">
        <v>500</v>
      </c>
      <c r="P225" s="349">
        <v>500</v>
      </c>
      <c r="Q225" s="257">
        <v>100</v>
      </c>
    </row>
    <row r="226" spans="1:17" s="12" customFormat="1" ht="31.5">
      <c r="A226" s="8" t="s">
        <v>21</v>
      </c>
      <c r="B226" s="10" t="s">
        <v>501</v>
      </c>
      <c r="C226" s="10" t="s">
        <v>14</v>
      </c>
      <c r="D226" s="10" t="s">
        <v>14</v>
      </c>
      <c r="E226" s="34" t="s">
        <v>22</v>
      </c>
      <c r="F226" s="10"/>
      <c r="G226" s="11">
        <v>0</v>
      </c>
      <c r="H226" s="11">
        <v>26445.1</v>
      </c>
      <c r="I226" s="7">
        <f t="shared" ref="I226:M227" si="96">I227</f>
        <v>0</v>
      </c>
      <c r="J226" s="7">
        <f t="shared" si="96"/>
        <v>26445.1</v>
      </c>
      <c r="K226" s="7">
        <f t="shared" si="96"/>
        <v>1648.1</v>
      </c>
      <c r="L226" s="7">
        <f t="shared" si="96"/>
        <v>28093.200000000001</v>
      </c>
      <c r="M226" s="7">
        <f t="shared" si="96"/>
        <v>0</v>
      </c>
      <c r="N226" s="7">
        <v>28093.200000000001</v>
      </c>
      <c r="O226" s="7">
        <v>28093.200000000001</v>
      </c>
      <c r="P226" s="349">
        <v>28093.200000000001</v>
      </c>
      <c r="Q226" s="257">
        <v>100</v>
      </c>
    </row>
    <row r="227" spans="1:17" s="12" customFormat="1" ht="63">
      <c r="A227" s="8" t="s">
        <v>526</v>
      </c>
      <c r="B227" s="10" t="s">
        <v>501</v>
      </c>
      <c r="C227" s="10" t="s">
        <v>14</v>
      </c>
      <c r="D227" s="10" t="s">
        <v>14</v>
      </c>
      <c r="E227" s="34" t="s">
        <v>44</v>
      </c>
      <c r="F227" s="10"/>
      <c r="G227" s="11">
        <v>0</v>
      </c>
      <c r="H227" s="11">
        <v>26445.1</v>
      </c>
      <c r="I227" s="7">
        <f t="shared" si="96"/>
        <v>0</v>
      </c>
      <c r="J227" s="7">
        <f t="shared" ref="J227:M227" si="97">J228+J229</f>
        <v>26445.1</v>
      </c>
      <c r="K227" s="7">
        <f t="shared" si="97"/>
        <v>1648.1</v>
      </c>
      <c r="L227" s="7">
        <f t="shared" si="97"/>
        <v>28093.200000000001</v>
      </c>
      <c r="M227" s="7">
        <f t="shared" si="97"/>
        <v>0</v>
      </c>
      <c r="N227" s="7">
        <v>28093.200000000001</v>
      </c>
      <c r="O227" s="7">
        <v>28093.200000000001</v>
      </c>
      <c r="P227" s="349">
        <v>28093.200000000001</v>
      </c>
      <c r="Q227" s="257">
        <v>100</v>
      </c>
    </row>
    <row r="228" spans="1:17" s="12" customFormat="1" ht="47.25">
      <c r="A228" s="8" t="s">
        <v>360</v>
      </c>
      <c r="B228" s="10" t="s">
        <v>501</v>
      </c>
      <c r="C228" s="10" t="s">
        <v>14</v>
      </c>
      <c r="D228" s="10" t="s">
        <v>14</v>
      </c>
      <c r="E228" s="34" t="s">
        <v>44</v>
      </c>
      <c r="F228" s="10" t="s">
        <v>359</v>
      </c>
      <c r="G228" s="11">
        <v>0</v>
      </c>
      <c r="H228" s="31">
        <v>26445.1</v>
      </c>
      <c r="I228" s="7"/>
      <c r="J228" s="7">
        <f>H228+I228</f>
        <v>26445.1</v>
      </c>
      <c r="K228" s="7">
        <f>1648.1-256.5</f>
        <v>1391.6</v>
      </c>
      <c r="L228" s="7">
        <f>J228+K228</f>
        <v>27836.7</v>
      </c>
      <c r="M228" s="7"/>
      <c r="N228" s="7">
        <v>27836.7</v>
      </c>
      <c r="O228" s="7">
        <v>27836.7</v>
      </c>
      <c r="P228" s="349">
        <v>27836.7</v>
      </c>
      <c r="Q228" s="257">
        <v>100</v>
      </c>
    </row>
    <row r="229" spans="1:17" s="12" customFormat="1">
      <c r="A229" s="8" t="s">
        <v>373</v>
      </c>
      <c r="B229" s="10" t="s">
        <v>501</v>
      </c>
      <c r="C229" s="10" t="s">
        <v>14</v>
      </c>
      <c r="D229" s="10" t="s">
        <v>14</v>
      </c>
      <c r="E229" s="34" t="s">
        <v>44</v>
      </c>
      <c r="F229" s="10" t="s">
        <v>372</v>
      </c>
      <c r="G229" s="11"/>
      <c r="H229" s="31"/>
      <c r="I229" s="7"/>
      <c r="J229" s="7"/>
      <c r="K229" s="7">
        <v>256.5</v>
      </c>
      <c r="L229" s="7">
        <f>J229+K229</f>
        <v>256.5</v>
      </c>
      <c r="M229" s="7"/>
      <c r="N229" s="7">
        <v>256.5</v>
      </c>
      <c r="O229" s="7">
        <v>256.5</v>
      </c>
      <c r="P229" s="349">
        <v>256.5</v>
      </c>
      <c r="Q229" s="257">
        <v>100</v>
      </c>
    </row>
    <row r="230" spans="1:17" s="12" customFormat="1">
      <c r="A230" s="8" t="s">
        <v>363</v>
      </c>
      <c r="B230" s="10" t="s">
        <v>501</v>
      </c>
      <c r="C230" s="10" t="s">
        <v>14</v>
      </c>
      <c r="D230" s="10" t="s">
        <v>14</v>
      </c>
      <c r="E230" s="34" t="s">
        <v>682</v>
      </c>
      <c r="F230" s="10"/>
      <c r="G230" s="11">
        <v>13607.9</v>
      </c>
      <c r="H230" s="11">
        <v>13607.9</v>
      </c>
      <c r="I230" s="7" t="e">
        <f>#REF!+I233+I231+I240</f>
        <v>#REF!</v>
      </c>
      <c r="J230" s="7" t="e">
        <f>#REF!+J233+J231+J240</f>
        <v>#REF!</v>
      </c>
      <c r="K230" s="7" t="e">
        <f>#REF!+K233+K231+K240</f>
        <v>#REF!</v>
      </c>
      <c r="L230" s="7" t="e">
        <f>#REF!+L233+L231+L240</f>
        <v>#REF!</v>
      </c>
      <c r="M230" s="7" t="e">
        <f>#REF!+M233+M231+M240</f>
        <v>#REF!</v>
      </c>
      <c r="N230" s="7">
        <v>22144.400000000001</v>
      </c>
      <c r="O230" s="7">
        <v>22144.400000000001</v>
      </c>
      <c r="P230" s="349">
        <v>21578.1</v>
      </c>
      <c r="Q230" s="257">
        <v>97.44</v>
      </c>
    </row>
    <row r="231" spans="1:17" s="12" customFormat="1" ht="31.5">
      <c r="A231" s="8" t="s">
        <v>834</v>
      </c>
      <c r="B231" s="10" t="s">
        <v>501</v>
      </c>
      <c r="C231" s="10" t="s">
        <v>14</v>
      </c>
      <c r="D231" s="10" t="s">
        <v>14</v>
      </c>
      <c r="E231" s="34" t="s">
        <v>833</v>
      </c>
      <c r="F231" s="10"/>
      <c r="G231" s="11"/>
      <c r="H231" s="31">
        <f t="shared" ref="H231:M231" si="98">H232</f>
        <v>0</v>
      </c>
      <c r="I231" s="7">
        <f t="shared" si="98"/>
        <v>125</v>
      </c>
      <c r="J231" s="7">
        <f t="shared" si="98"/>
        <v>125</v>
      </c>
      <c r="K231" s="7">
        <f t="shared" si="98"/>
        <v>0</v>
      </c>
      <c r="L231" s="7">
        <f t="shared" si="98"/>
        <v>125</v>
      </c>
      <c r="M231" s="7">
        <f t="shared" si="98"/>
        <v>0</v>
      </c>
      <c r="N231" s="7">
        <v>125</v>
      </c>
      <c r="O231" s="7">
        <v>125</v>
      </c>
      <c r="P231" s="349">
        <v>125</v>
      </c>
      <c r="Q231" s="257">
        <v>100</v>
      </c>
    </row>
    <row r="232" spans="1:17" s="12" customFormat="1" ht="31.5">
      <c r="A232" s="8" t="s">
        <v>339</v>
      </c>
      <c r="B232" s="10" t="s">
        <v>501</v>
      </c>
      <c r="C232" s="10" t="s">
        <v>14</v>
      </c>
      <c r="D232" s="10" t="s">
        <v>14</v>
      </c>
      <c r="E232" s="34" t="s">
        <v>833</v>
      </c>
      <c r="F232" s="10" t="s">
        <v>334</v>
      </c>
      <c r="G232" s="11"/>
      <c r="H232" s="31"/>
      <c r="I232" s="7">
        <v>125</v>
      </c>
      <c r="J232" s="7">
        <f>H232+I232</f>
        <v>125</v>
      </c>
      <c r="K232" s="7"/>
      <c r="L232" s="7">
        <f>J232+K232</f>
        <v>125</v>
      </c>
      <c r="M232" s="7"/>
      <c r="N232" s="7">
        <v>125</v>
      </c>
      <c r="O232" s="7">
        <v>125</v>
      </c>
      <c r="P232" s="349">
        <v>125</v>
      </c>
      <c r="Q232" s="257">
        <v>100</v>
      </c>
    </row>
    <row r="233" spans="1:17" s="12" customFormat="1" ht="47.25">
      <c r="A233" s="8" t="s">
        <v>741</v>
      </c>
      <c r="B233" s="10" t="s">
        <v>501</v>
      </c>
      <c r="C233" s="10" t="s">
        <v>14</v>
      </c>
      <c r="D233" s="10" t="s">
        <v>14</v>
      </c>
      <c r="E233" s="34" t="s">
        <v>740</v>
      </c>
      <c r="F233" s="10"/>
      <c r="G233" s="11">
        <v>11107.9</v>
      </c>
      <c r="H233" s="11">
        <v>11107.9</v>
      </c>
      <c r="I233" s="7">
        <f t="shared" ref="I233:M233" si="99">I234+I235+I236+I237+I238+I239</f>
        <v>0</v>
      </c>
      <c r="J233" s="7">
        <f t="shared" si="99"/>
        <v>11107.9</v>
      </c>
      <c r="K233" s="7">
        <f t="shared" si="99"/>
        <v>951.5</v>
      </c>
      <c r="L233" s="7">
        <f t="shared" si="99"/>
        <v>12059.4</v>
      </c>
      <c r="M233" s="7">
        <f t="shared" si="99"/>
        <v>0</v>
      </c>
      <c r="N233" s="7">
        <v>12059.4</v>
      </c>
      <c r="O233" s="7">
        <v>12059.4</v>
      </c>
      <c r="P233" s="349">
        <v>11993.1</v>
      </c>
      <c r="Q233" s="257">
        <v>99.45</v>
      </c>
    </row>
    <row r="234" spans="1:17" s="12" customFormat="1">
      <c r="A234" s="8" t="s">
        <v>337</v>
      </c>
      <c r="B234" s="10" t="s">
        <v>501</v>
      </c>
      <c r="C234" s="10" t="s">
        <v>14</v>
      </c>
      <c r="D234" s="10" t="s">
        <v>14</v>
      </c>
      <c r="E234" s="34" t="s">
        <v>740</v>
      </c>
      <c r="F234" s="10" t="s">
        <v>347</v>
      </c>
      <c r="G234" s="11">
        <v>7051.9</v>
      </c>
      <c r="H234" s="31">
        <v>7051.9</v>
      </c>
      <c r="I234" s="7"/>
      <c r="J234" s="7">
        <f t="shared" ref="J234:J239" si="100">H234+I234</f>
        <v>7051.9</v>
      </c>
      <c r="K234" s="7">
        <f>99.4+872.3</f>
        <v>971.7</v>
      </c>
      <c r="L234" s="7">
        <f t="shared" ref="L234:L239" si="101">J234+K234</f>
        <v>8023.6</v>
      </c>
      <c r="M234" s="7">
        <v>78.099999999999994</v>
      </c>
      <c r="N234" s="7">
        <v>8101.7</v>
      </c>
      <c r="O234" s="7">
        <v>8101.7</v>
      </c>
      <c r="P234" s="349">
        <v>8035.4</v>
      </c>
      <c r="Q234" s="257">
        <v>99.18</v>
      </c>
    </row>
    <row r="235" spans="1:17" s="12" customFormat="1" ht="31.5">
      <c r="A235" s="8" t="s">
        <v>345</v>
      </c>
      <c r="B235" s="10" t="s">
        <v>501</v>
      </c>
      <c r="C235" s="10" t="s">
        <v>14</v>
      </c>
      <c r="D235" s="10" t="s">
        <v>14</v>
      </c>
      <c r="E235" s="34" t="s">
        <v>740</v>
      </c>
      <c r="F235" s="10" t="s">
        <v>348</v>
      </c>
      <c r="G235" s="11">
        <v>240</v>
      </c>
      <c r="H235" s="31">
        <v>240</v>
      </c>
      <c r="I235" s="7"/>
      <c r="J235" s="7">
        <f t="shared" si="100"/>
        <v>240</v>
      </c>
      <c r="K235" s="7">
        <v>141.4</v>
      </c>
      <c r="L235" s="7">
        <f t="shared" si="101"/>
        <v>381.4</v>
      </c>
      <c r="M235" s="7">
        <v>10.9</v>
      </c>
      <c r="N235" s="7">
        <v>392.3</v>
      </c>
      <c r="O235" s="7">
        <v>392.3</v>
      </c>
      <c r="P235" s="349">
        <v>392.3</v>
      </c>
      <c r="Q235" s="257">
        <v>100</v>
      </c>
    </row>
    <row r="236" spans="1:17" s="12" customFormat="1" ht="47.25">
      <c r="A236" s="8" t="s">
        <v>338</v>
      </c>
      <c r="B236" s="10" t="s">
        <v>501</v>
      </c>
      <c r="C236" s="10" t="s">
        <v>14</v>
      </c>
      <c r="D236" s="10" t="s">
        <v>14</v>
      </c>
      <c r="E236" s="34" t="s">
        <v>740</v>
      </c>
      <c r="F236" s="10" t="s">
        <v>333</v>
      </c>
      <c r="G236" s="11">
        <v>930</v>
      </c>
      <c r="H236" s="31">
        <v>930</v>
      </c>
      <c r="I236" s="7">
        <f>-15-120</f>
        <v>-135</v>
      </c>
      <c r="J236" s="7">
        <f t="shared" si="100"/>
        <v>795</v>
      </c>
      <c r="K236" s="7">
        <v>40.4</v>
      </c>
      <c r="L236" s="7">
        <f t="shared" si="101"/>
        <v>835.4</v>
      </c>
      <c r="M236" s="7">
        <v>30</v>
      </c>
      <c r="N236" s="7">
        <v>865.4</v>
      </c>
      <c r="O236" s="7">
        <v>865.4</v>
      </c>
      <c r="P236" s="349">
        <v>865.4</v>
      </c>
      <c r="Q236" s="257">
        <v>100</v>
      </c>
    </row>
    <row r="237" spans="1:17" s="12" customFormat="1" ht="31.5">
      <c r="A237" s="8" t="s">
        <v>339</v>
      </c>
      <c r="B237" s="10" t="s">
        <v>501</v>
      </c>
      <c r="C237" s="10" t="s">
        <v>14</v>
      </c>
      <c r="D237" s="10" t="s">
        <v>14</v>
      </c>
      <c r="E237" s="34" t="s">
        <v>740</v>
      </c>
      <c r="F237" s="10" t="s">
        <v>334</v>
      </c>
      <c r="G237" s="11">
        <v>2815.2</v>
      </c>
      <c r="H237" s="31">
        <v>2815.2</v>
      </c>
      <c r="I237" s="7">
        <v>120</v>
      </c>
      <c r="J237" s="7">
        <f t="shared" si="100"/>
        <v>2935.2</v>
      </c>
      <c r="K237" s="7">
        <v>-202</v>
      </c>
      <c r="L237" s="7">
        <f t="shared" si="101"/>
        <v>2733.2</v>
      </c>
      <c r="M237" s="7">
        <v>-82.6</v>
      </c>
      <c r="N237" s="7">
        <v>2650.6</v>
      </c>
      <c r="O237" s="7">
        <v>2650.6</v>
      </c>
      <c r="P237" s="349">
        <v>2650.6</v>
      </c>
      <c r="Q237" s="257">
        <v>100</v>
      </c>
    </row>
    <row r="238" spans="1:17" s="12" customFormat="1" ht="31.5">
      <c r="A238" s="8" t="s">
        <v>340</v>
      </c>
      <c r="B238" s="10" t="s">
        <v>501</v>
      </c>
      <c r="C238" s="10" t="s">
        <v>14</v>
      </c>
      <c r="D238" s="10" t="s">
        <v>14</v>
      </c>
      <c r="E238" s="34" t="s">
        <v>740</v>
      </c>
      <c r="F238" s="10" t="s">
        <v>335</v>
      </c>
      <c r="G238" s="11">
        <v>57.2</v>
      </c>
      <c r="H238" s="31">
        <v>57.2</v>
      </c>
      <c r="I238" s="7"/>
      <c r="J238" s="7">
        <f t="shared" si="100"/>
        <v>57.2</v>
      </c>
      <c r="K238" s="7"/>
      <c r="L238" s="7">
        <f t="shared" si="101"/>
        <v>57.2</v>
      </c>
      <c r="M238" s="7">
        <v>-34.4</v>
      </c>
      <c r="N238" s="7">
        <v>22.8</v>
      </c>
      <c r="O238" s="7">
        <v>22.8</v>
      </c>
      <c r="P238" s="349">
        <v>22.8</v>
      </c>
      <c r="Q238" s="257">
        <v>100</v>
      </c>
    </row>
    <row r="239" spans="1:17" s="12" customFormat="1">
      <c r="A239" s="8" t="s">
        <v>380</v>
      </c>
      <c r="B239" s="10" t="s">
        <v>501</v>
      </c>
      <c r="C239" s="10" t="s">
        <v>14</v>
      </c>
      <c r="D239" s="10" t="s">
        <v>14</v>
      </c>
      <c r="E239" s="34" t="s">
        <v>740</v>
      </c>
      <c r="F239" s="10" t="s">
        <v>336</v>
      </c>
      <c r="G239" s="11">
        <v>13.6</v>
      </c>
      <c r="H239" s="31">
        <v>13.6</v>
      </c>
      <c r="I239" s="7">
        <v>15</v>
      </c>
      <c r="J239" s="7">
        <f t="shared" si="100"/>
        <v>28.6</v>
      </c>
      <c r="K239" s="7"/>
      <c r="L239" s="7">
        <f t="shared" si="101"/>
        <v>28.6</v>
      </c>
      <c r="M239" s="7">
        <v>-2</v>
      </c>
      <c r="N239" s="7">
        <v>26.6</v>
      </c>
      <c r="O239" s="7">
        <v>26.6</v>
      </c>
      <c r="P239" s="349">
        <v>26.6</v>
      </c>
      <c r="Q239" s="257">
        <v>100</v>
      </c>
    </row>
    <row r="240" spans="1:17" s="12" customFormat="1" ht="47.25">
      <c r="A240" s="8" t="s">
        <v>884</v>
      </c>
      <c r="B240" s="10" t="s">
        <v>501</v>
      </c>
      <c r="C240" s="10" t="s">
        <v>14</v>
      </c>
      <c r="D240" s="10" t="s">
        <v>14</v>
      </c>
      <c r="E240" s="34" t="s">
        <v>883</v>
      </c>
      <c r="F240" s="10"/>
      <c r="G240" s="11"/>
      <c r="H240" s="31">
        <f>H242</f>
        <v>0</v>
      </c>
      <c r="I240" s="31">
        <f>I242</f>
        <v>3960</v>
      </c>
      <c r="J240" s="36">
        <f t="shared" ref="J240:M240" si="102">J242+J241</f>
        <v>3960</v>
      </c>
      <c r="K240" s="36">
        <f t="shared" si="102"/>
        <v>6000</v>
      </c>
      <c r="L240" s="36">
        <f t="shared" si="102"/>
        <v>9960</v>
      </c>
      <c r="M240" s="36">
        <f t="shared" si="102"/>
        <v>0</v>
      </c>
      <c r="N240" s="36">
        <v>9960</v>
      </c>
      <c r="O240" s="36">
        <v>9960</v>
      </c>
      <c r="P240" s="350">
        <v>9460</v>
      </c>
      <c r="Q240" s="257">
        <v>94.98</v>
      </c>
    </row>
    <row r="241" spans="1:17" s="12" customFormat="1">
      <c r="A241" s="8" t="s">
        <v>580</v>
      </c>
      <c r="B241" s="10" t="s">
        <v>501</v>
      </c>
      <c r="C241" s="10" t="s">
        <v>14</v>
      </c>
      <c r="D241" s="10" t="s">
        <v>14</v>
      </c>
      <c r="E241" s="34" t="s">
        <v>883</v>
      </c>
      <c r="F241" s="10" t="s">
        <v>581</v>
      </c>
      <c r="G241" s="11"/>
      <c r="H241" s="31"/>
      <c r="I241" s="31"/>
      <c r="J241" s="36"/>
      <c r="K241" s="36">
        <v>6000</v>
      </c>
      <c r="L241" s="36">
        <f>J241+K241</f>
        <v>6000</v>
      </c>
      <c r="M241" s="36"/>
      <c r="N241" s="36">
        <v>6000</v>
      </c>
      <c r="O241" s="7">
        <v>6000</v>
      </c>
      <c r="P241" s="349">
        <v>5500</v>
      </c>
      <c r="Q241" s="257">
        <v>91.67</v>
      </c>
    </row>
    <row r="242" spans="1:17" s="12" customFormat="1" ht="31.5">
      <c r="A242" s="33" t="s">
        <v>887</v>
      </c>
      <c r="B242" s="10" t="s">
        <v>501</v>
      </c>
      <c r="C242" s="10" t="s">
        <v>14</v>
      </c>
      <c r="D242" s="10" t="s">
        <v>14</v>
      </c>
      <c r="E242" s="34" t="s">
        <v>883</v>
      </c>
      <c r="F242" s="10" t="s">
        <v>886</v>
      </c>
      <c r="G242" s="11"/>
      <c r="H242" s="31"/>
      <c r="I242" s="7">
        <v>3960</v>
      </c>
      <c r="J242" s="7">
        <f>H242+I242</f>
        <v>3960</v>
      </c>
      <c r="K242" s="7"/>
      <c r="L242" s="7">
        <f>J242+K242</f>
        <v>3960</v>
      </c>
      <c r="M242" s="7"/>
      <c r="N242" s="7">
        <v>3960</v>
      </c>
      <c r="O242" s="7">
        <v>3960</v>
      </c>
      <c r="P242" s="349">
        <v>3960</v>
      </c>
      <c r="Q242" s="257">
        <v>100</v>
      </c>
    </row>
    <row r="243" spans="1:17" s="12" customFormat="1" ht="31.5">
      <c r="A243" s="8" t="s">
        <v>915</v>
      </c>
      <c r="B243" s="10" t="s">
        <v>501</v>
      </c>
      <c r="C243" s="10" t="s">
        <v>14</v>
      </c>
      <c r="D243" s="10" t="s">
        <v>14</v>
      </c>
      <c r="E243" s="34" t="s">
        <v>636</v>
      </c>
      <c r="F243" s="10"/>
      <c r="G243" s="11"/>
      <c r="H243" s="31"/>
      <c r="I243" s="7"/>
      <c r="J243" s="7"/>
      <c r="K243" s="7">
        <f t="shared" ref="K243:M243" si="103">K244</f>
        <v>98740.4</v>
      </c>
      <c r="L243" s="7">
        <f t="shared" si="103"/>
        <v>98740.4</v>
      </c>
      <c r="M243" s="7">
        <f t="shared" si="103"/>
        <v>0</v>
      </c>
      <c r="N243" s="7">
        <v>98740.4</v>
      </c>
      <c r="O243" s="7">
        <v>98740.4</v>
      </c>
      <c r="P243" s="349">
        <v>98740.4</v>
      </c>
      <c r="Q243" s="257">
        <v>100</v>
      </c>
    </row>
    <row r="244" spans="1:17" s="12" customFormat="1" ht="31.5">
      <c r="A244" s="8" t="s">
        <v>339</v>
      </c>
      <c r="B244" s="10" t="s">
        <v>501</v>
      </c>
      <c r="C244" s="10" t="s">
        <v>14</v>
      </c>
      <c r="D244" s="10" t="s">
        <v>14</v>
      </c>
      <c r="E244" s="34" t="s">
        <v>636</v>
      </c>
      <c r="F244" s="10" t="s">
        <v>334</v>
      </c>
      <c r="G244" s="11"/>
      <c r="H244" s="31"/>
      <c r="I244" s="7"/>
      <c r="J244" s="7"/>
      <c r="K244" s="7">
        <f>84949.5+13790.9</f>
        <v>98740.4</v>
      </c>
      <c r="L244" s="7">
        <f>J244+K244</f>
        <v>98740.4</v>
      </c>
      <c r="M244" s="7"/>
      <c r="N244" s="7">
        <v>98740.4</v>
      </c>
      <c r="O244" s="7">
        <v>98740.4</v>
      </c>
      <c r="P244" s="349">
        <v>98740.4</v>
      </c>
      <c r="Q244" s="257">
        <v>100</v>
      </c>
    </row>
    <row r="245" spans="1:17" s="30" customFormat="1">
      <c r="A245" s="26" t="s">
        <v>49</v>
      </c>
      <c r="B245" s="27" t="s">
        <v>501</v>
      </c>
      <c r="C245" s="27"/>
      <c r="D245" s="27"/>
      <c r="E245" s="27"/>
      <c r="F245" s="27"/>
      <c r="G245" s="28">
        <v>167138.20000000001</v>
      </c>
      <c r="H245" s="28">
        <v>843002</v>
      </c>
      <c r="I245" s="29" t="e">
        <f t="shared" ref="I245:M245" si="104">I246</f>
        <v>#REF!</v>
      </c>
      <c r="J245" s="29">
        <f t="shared" si="104"/>
        <v>864984.7</v>
      </c>
      <c r="K245" s="29">
        <f t="shared" si="104"/>
        <v>1357.8</v>
      </c>
      <c r="L245" s="29">
        <f t="shared" si="104"/>
        <v>866342.5</v>
      </c>
      <c r="M245" s="29">
        <f t="shared" si="104"/>
        <v>0</v>
      </c>
      <c r="N245" s="29">
        <v>866342.5</v>
      </c>
      <c r="O245" s="29">
        <v>866342.5</v>
      </c>
      <c r="P245" s="348">
        <v>866342.5</v>
      </c>
      <c r="Q245" s="256">
        <v>100</v>
      </c>
    </row>
    <row r="246" spans="1:17" s="30" customFormat="1">
      <c r="A246" s="26" t="s">
        <v>13</v>
      </c>
      <c r="B246" s="27" t="s">
        <v>501</v>
      </c>
      <c r="C246" s="27" t="s">
        <v>14</v>
      </c>
      <c r="D246" s="27"/>
      <c r="E246" s="27"/>
      <c r="F246" s="27"/>
      <c r="G246" s="28">
        <v>167138.20000000001</v>
      </c>
      <c r="H246" s="28">
        <v>843002</v>
      </c>
      <c r="I246" s="29" t="e">
        <f t="shared" ref="I246:M246" si="105">I247+I252</f>
        <v>#REF!</v>
      </c>
      <c r="J246" s="29">
        <f t="shared" si="105"/>
        <v>864984.7</v>
      </c>
      <c r="K246" s="29">
        <f t="shared" si="105"/>
        <v>1357.8</v>
      </c>
      <c r="L246" s="29">
        <f t="shared" si="105"/>
        <v>866342.5</v>
      </c>
      <c r="M246" s="29">
        <f t="shared" si="105"/>
        <v>0</v>
      </c>
      <c r="N246" s="29">
        <v>866342.5</v>
      </c>
      <c r="O246" s="29">
        <v>866342.5</v>
      </c>
      <c r="P246" s="348">
        <v>866342.5</v>
      </c>
      <c r="Q246" s="256">
        <v>100</v>
      </c>
    </row>
    <row r="247" spans="1:17" s="30" customFormat="1">
      <c r="A247" s="26" t="s">
        <v>29</v>
      </c>
      <c r="B247" s="27" t="s">
        <v>501</v>
      </c>
      <c r="C247" s="27" t="s">
        <v>14</v>
      </c>
      <c r="D247" s="27" t="s">
        <v>11</v>
      </c>
      <c r="E247" s="27"/>
      <c r="F247" s="27"/>
      <c r="G247" s="28">
        <v>60509.4</v>
      </c>
      <c r="H247" s="28">
        <v>77743.399999999994</v>
      </c>
      <c r="I247" s="29">
        <f t="shared" ref="I247:M250" si="106">I248</f>
        <v>0</v>
      </c>
      <c r="J247" s="29">
        <f t="shared" si="106"/>
        <v>77743.399999999994</v>
      </c>
      <c r="K247" s="29">
        <f t="shared" si="106"/>
        <v>0</v>
      </c>
      <c r="L247" s="29">
        <f t="shared" si="106"/>
        <v>77743.399999999994</v>
      </c>
      <c r="M247" s="29">
        <f t="shared" si="106"/>
        <v>0</v>
      </c>
      <c r="N247" s="29">
        <v>77743.399999999994</v>
      </c>
      <c r="O247" s="29">
        <v>77743.399999999994</v>
      </c>
      <c r="P247" s="348">
        <v>77743.399999999994</v>
      </c>
      <c r="Q247" s="256">
        <v>100</v>
      </c>
    </row>
    <row r="248" spans="1:17" s="12" customFormat="1">
      <c r="A248" s="8" t="s">
        <v>17</v>
      </c>
      <c r="B248" s="10" t="s">
        <v>501</v>
      </c>
      <c r="C248" s="10" t="s">
        <v>14</v>
      </c>
      <c r="D248" s="10" t="s">
        <v>11</v>
      </c>
      <c r="E248" s="10" t="s">
        <v>18</v>
      </c>
      <c r="F248" s="10"/>
      <c r="G248" s="11">
        <v>60509.4</v>
      </c>
      <c r="H248" s="11">
        <v>77743.399999999994</v>
      </c>
      <c r="I248" s="7">
        <f t="shared" si="106"/>
        <v>0</v>
      </c>
      <c r="J248" s="7">
        <f t="shared" si="106"/>
        <v>77743.399999999994</v>
      </c>
      <c r="K248" s="7">
        <f t="shared" si="106"/>
        <v>0</v>
      </c>
      <c r="L248" s="7">
        <f t="shared" si="106"/>
        <v>77743.399999999994</v>
      </c>
      <c r="M248" s="7">
        <f t="shared" si="106"/>
        <v>0</v>
      </c>
      <c r="N248" s="7">
        <v>77743.399999999994</v>
      </c>
      <c r="O248" s="7">
        <v>77743.399999999994</v>
      </c>
      <c r="P248" s="349">
        <v>77743.399999999994</v>
      </c>
      <c r="Q248" s="257">
        <v>100</v>
      </c>
    </row>
    <row r="249" spans="1:17" s="12" customFormat="1" ht="63">
      <c r="A249" s="6" t="s">
        <v>912</v>
      </c>
      <c r="B249" s="10" t="s">
        <v>501</v>
      </c>
      <c r="C249" s="10" t="s">
        <v>14</v>
      </c>
      <c r="D249" s="10" t="s">
        <v>11</v>
      </c>
      <c r="E249" s="10" t="s">
        <v>19</v>
      </c>
      <c r="F249" s="10"/>
      <c r="G249" s="11">
        <v>60509.4</v>
      </c>
      <c r="H249" s="11">
        <v>77743.399999999994</v>
      </c>
      <c r="I249" s="7">
        <f t="shared" si="106"/>
        <v>0</v>
      </c>
      <c r="J249" s="7">
        <f t="shared" si="106"/>
        <v>77743.399999999994</v>
      </c>
      <c r="K249" s="7">
        <f t="shared" si="106"/>
        <v>0</v>
      </c>
      <c r="L249" s="7">
        <f t="shared" si="106"/>
        <v>77743.399999999994</v>
      </c>
      <c r="M249" s="7">
        <f t="shared" si="106"/>
        <v>0</v>
      </c>
      <c r="N249" s="7">
        <v>77743.399999999994</v>
      </c>
      <c r="O249" s="7">
        <v>77743.399999999994</v>
      </c>
      <c r="P249" s="349">
        <v>77743.399999999994</v>
      </c>
      <c r="Q249" s="257">
        <v>100</v>
      </c>
    </row>
    <row r="250" spans="1:17" s="12" customFormat="1" ht="31.5">
      <c r="A250" s="8" t="s">
        <v>20</v>
      </c>
      <c r="B250" s="10" t="s">
        <v>501</v>
      </c>
      <c r="C250" s="10" t="s">
        <v>14</v>
      </c>
      <c r="D250" s="10" t="s">
        <v>11</v>
      </c>
      <c r="E250" s="10" t="s">
        <v>407</v>
      </c>
      <c r="F250" s="10"/>
      <c r="G250" s="11">
        <v>60509.4</v>
      </c>
      <c r="H250" s="11">
        <v>77743.399999999994</v>
      </c>
      <c r="I250" s="7">
        <f t="shared" si="106"/>
        <v>0</v>
      </c>
      <c r="J250" s="7">
        <f t="shared" si="106"/>
        <v>77743.399999999994</v>
      </c>
      <c r="K250" s="7">
        <f t="shared" si="106"/>
        <v>0</v>
      </c>
      <c r="L250" s="7">
        <f t="shared" si="106"/>
        <v>77743.399999999994</v>
      </c>
      <c r="M250" s="7">
        <f t="shared" si="106"/>
        <v>0</v>
      </c>
      <c r="N250" s="7">
        <v>77743.399999999994</v>
      </c>
      <c r="O250" s="7">
        <v>77743.399999999994</v>
      </c>
      <c r="P250" s="349">
        <v>77743.399999999994</v>
      </c>
      <c r="Q250" s="257">
        <v>100</v>
      </c>
    </row>
    <row r="251" spans="1:17" s="12" customFormat="1" ht="31.5">
      <c r="A251" s="8" t="s">
        <v>409</v>
      </c>
      <c r="B251" s="10" t="s">
        <v>501</v>
      </c>
      <c r="C251" s="10" t="s">
        <v>14</v>
      </c>
      <c r="D251" s="10" t="s">
        <v>11</v>
      </c>
      <c r="E251" s="10" t="s">
        <v>407</v>
      </c>
      <c r="F251" s="10" t="s">
        <v>408</v>
      </c>
      <c r="G251" s="11">
        <v>60509.4</v>
      </c>
      <c r="H251" s="31">
        <v>77743.399999999994</v>
      </c>
      <c r="I251" s="7"/>
      <c r="J251" s="7">
        <f>H251+I251</f>
        <v>77743.399999999994</v>
      </c>
      <c r="K251" s="7"/>
      <c r="L251" s="7">
        <f>J251+K251</f>
        <v>77743.399999999994</v>
      </c>
      <c r="M251" s="7"/>
      <c r="N251" s="7">
        <v>77743.399999999994</v>
      </c>
      <c r="O251" s="7">
        <v>77743.399999999994</v>
      </c>
      <c r="P251" s="349">
        <v>77743.399999999994</v>
      </c>
      <c r="Q251" s="257">
        <v>100</v>
      </c>
    </row>
    <row r="252" spans="1:17" s="30" customFormat="1">
      <c r="A252" s="26" t="s">
        <v>36</v>
      </c>
      <c r="B252" s="27" t="s">
        <v>501</v>
      </c>
      <c r="C252" s="27" t="s">
        <v>14</v>
      </c>
      <c r="D252" s="27" t="s">
        <v>14</v>
      </c>
      <c r="E252" s="27"/>
      <c r="F252" s="27"/>
      <c r="G252" s="28">
        <v>311782.7</v>
      </c>
      <c r="H252" s="28">
        <v>765258.6</v>
      </c>
      <c r="I252" s="29" t="e">
        <f t="shared" ref="I252:M253" si="107">I253</f>
        <v>#REF!</v>
      </c>
      <c r="J252" s="29">
        <f t="shared" si="107"/>
        <v>787241.3</v>
      </c>
      <c r="K252" s="29">
        <f t="shared" si="107"/>
        <v>1357.8</v>
      </c>
      <c r="L252" s="29">
        <f t="shared" si="107"/>
        <v>788599.1</v>
      </c>
      <c r="M252" s="29">
        <f t="shared" si="107"/>
        <v>0</v>
      </c>
      <c r="N252" s="29">
        <v>788599.1</v>
      </c>
      <c r="O252" s="29">
        <v>788599.1</v>
      </c>
      <c r="P252" s="348">
        <v>788599.1</v>
      </c>
      <c r="Q252" s="256">
        <v>100</v>
      </c>
    </row>
    <row r="253" spans="1:17" s="12" customFormat="1">
      <c r="A253" s="8" t="s">
        <v>17</v>
      </c>
      <c r="B253" s="10" t="s">
        <v>501</v>
      </c>
      <c r="C253" s="10" t="s">
        <v>14</v>
      </c>
      <c r="D253" s="10" t="s">
        <v>14</v>
      </c>
      <c r="E253" s="10" t="s">
        <v>18</v>
      </c>
      <c r="F253" s="10"/>
      <c r="G253" s="11">
        <v>311782.7</v>
      </c>
      <c r="H253" s="11">
        <v>765258.6</v>
      </c>
      <c r="I253" s="7" t="e">
        <f t="shared" si="107"/>
        <v>#REF!</v>
      </c>
      <c r="J253" s="7">
        <f t="shared" si="107"/>
        <v>787241.3</v>
      </c>
      <c r="K253" s="7">
        <f t="shared" si="107"/>
        <v>1357.8</v>
      </c>
      <c r="L253" s="7">
        <f t="shared" si="107"/>
        <v>788599.1</v>
      </c>
      <c r="M253" s="7">
        <f t="shared" si="107"/>
        <v>0</v>
      </c>
      <c r="N253" s="7">
        <v>788599.1</v>
      </c>
      <c r="O253" s="7">
        <v>788599.1</v>
      </c>
      <c r="P253" s="349">
        <v>788599.1</v>
      </c>
      <c r="Q253" s="257">
        <v>100</v>
      </c>
    </row>
    <row r="254" spans="1:17" s="12" customFormat="1" ht="63">
      <c r="A254" s="6" t="s">
        <v>912</v>
      </c>
      <c r="B254" s="10" t="s">
        <v>501</v>
      </c>
      <c r="C254" s="10" t="s">
        <v>14</v>
      </c>
      <c r="D254" s="10" t="s">
        <v>14</v>
      </c>
      <c r="E254" s="10" t="s">
        <v>19</v>
      </c>
      <c r="F254" s="10"/>
      <c r="G254" s="11">
        <v>311782.7</v>
      </c>
      <c r="H254" s="11">
        <v>765258.6</v>
      </c>
      <c r="I254" s="7" t="e">
        <f t="shared" ref="I254:M254" si="108">I255+I257</f>
        <v>#REF!</v>
      </c>
      <c r="J254" s="7">
        <f t="shared" si="108"/>
        <v>787241.3</v>
      </c>
      <c r="K254" s="7">
        <f t="shared" si="108"/>
        <v>1357.8</v>
      </c>
      <c r="L254" s="7">
        <f t="shared" si="108"/>
        <v>788599.1</v>
      </c>
      <c r="M254" s="7">
        <f t="shared" si="108"/>
        <v>0</v>
      </c>
      <c r="N254" s="7">
        <v>788599.1</v>
      </c>
      <c r="O254" s="7">
        <v>788599.1</v>
      </c>
      <c r="P254" s="349">
        <v>788599.1</v>
      </c>
      <c r="Q254" s="257">
        <v>100</v>
      </c>
    </row>
    <row r="255" spans="1:17" s="12" customFormat="1" ht="31.5">
      <c r="A255" s="8" t="s">
        <v>20</v>
      </c>
      <c r="B255" s="10" t="s">
        <v>501</v>
      </c>
      <c r="C255" s="10" t="s">
        <v>14</v>
      </c>
      <c r="D255" s="10" t="s">
        <v>14</v>
      </c>
      <c r="E255" s="10" t="s">
        <v>407</v>
      </c>
      <c r="F255" s="10"/>
      <c r="G255" s="11">
        <v>-3960.9</v>
      </c>
      <c r="H255" s="11">
        <v>0</v>
      </c>
      <c r="I255" s="7">
        <f t="shared" ref="I255:M255" si="109">I256</f>
        <v>21982.7</v>
      </c>
      <c r="J255" s="7">
        <f t="shared" si="109"/>
        <v>21982.7</v>
      </c>
      <c r="K255" s="7">
        <f t="shared" si="109"/>
        <v>1357.8</v>
      </c>
      <c r="L255" s="7">
        <f t="shared" si="109"/>
        <v>23340.5</v>
      </c>
      <c r="M255" s="7">
        <f t="shared" si="109"/>
        <v>0</v>
      </c>
      <c r="N255" s="7">
        <v>23340.5</v>
      </c>
      <c r="O255" s="7">
        <v>23340.5</v>
      </c>
      <c r="P255" s="349">
        <v>23340.5</v>
      </c>
      <c r="Q255" s="257">
        <v>100</v>
      </c>
    </row>
    <row r="256" spans="1:17" s="12" customFormat="1" ht="31.5">
      <c r="A256" s="8" t="s">
        <v>409</v>
      </c>
      <c r="B256" s="10" t="s">
        <v>501</v>
      </c>
      <c r="C256" s="10" t="s">
        <v>14</v>
      </c>
      <c r="D256" s="10" t="s">
        <v>14</v>
      </c>
      <c r="E256" s="10" t="s">
        <v>407</v>
      </c>
      <c r="F256" s="10" t="s">
        <v>408</v>
      </c>
      <c r="G256" s="11">
        <v>-3960.9</v>
      </c>
      <c r="H256" s="31">
        <v>0</v>
      </c>
      <c r="I256" s="7">
        <v>21982.7</v>
      </c>
      <c r="J256" s="7">
        <f>H256+I256</f>
        <v>21982.7</v>
      </c>
      <c r="K256" s="7">
        <f>1516-158.2</f>
        <v>1357.8</v>
      </c>
      <c r="L256" s="7">
        <f>J256+K256</f>
        <v>23340.5</v>
      </c>
      <c r="M256" s="7"/>
      <c r="N256" s="7">
        <v>23340.5</v>
      </c>
      <c r="O256" s="7">
        <v>23340.5</v>
      </c>
      <c r="P256" s="349">
        <v>23340.5</v>
      </c>
      <c r="Q256" s="257">
        <v>100</v>
      </c>
    </row>
    <row r="257" spans="1:17" s="12" customFormat="1" ht="31.5">
      <c r="A257" s="8" t="s">
        <v>160</v>
      </c>
      <c r="B257" s="10" t="s">
        <v>501</v>
      </c>
      <c r="C257" s="10" t="s">
        <v>14</v>
      </c>
      <c r="D257" s="10" t="s">
        <v>14</v>
      </c>
      <c r="E257" s="10" t="s">
        <v>416</v>
      </c>
      <c r="F257" s="10"/>
      <c r="G257" s="11">
        <v>315743.59999999998</v>
      </c>
      <c r="H257" s="11">
        <v>765258.6</v>
      </c>
      <c r="I257" s="7" t="e">
        <f>I258+#REF!</f>
        <v>#REF!</v>
      </c>
      <c r="J257" s="7">
        <f t="shared" ref="J257:M257" si="110">J258</f>
        <v>765258.6</v>
      </c>
      <c r="K257" s="7">
        <f t="shared" si="110"/>
        <v>0</v>
      </c>
      <c r="L257" s="7">
        <f t="shared" si="110"/>
        <v>765258.6</v>
      </c>
      <c r="M257" s="7">
        <f t="shared" si="110"/>
        <v>0</v>
      </c>
      <c r="N257" s="7">
        <v>765258.6</v>
      </c>
      <c r="O257" s="7">
        <v>765258.6</v>
      </c>
      <c r="P257" s="349">
        <v>765258.6</v>
      </c>
      <c r="Q257" s="257">
        <v>100</v>
      </c>
    </row>
    <row r="258" spans="1:17" s="12" customFormat="1" ht="47.25">
      <c r="A258" s="8" t="s">
        <v>1044</v>
      </c>
      <c r="B258" s="10" t="s">
        <v>501</v>
      </c>
      <c r="C258" s="10" t="s">
        <v>14</v>
      </c>
      <c r="D258" s="10" t="s">
        <v>14</v>
      </c>
      <c r="E258" s="10" t="s">
        <v>416</v>
      </c>
      <c r="F258" s="10" t="s">
        <v>626</v>
      </c>
      <c r="G258" s="11">
        <v>765258.6</v>
      </c>
      <c r="H258" s="31">
        <v>765258.6</v>
      </c>
      <c r="I258" s="7"/>
      <c r="J258" s="7">
        <f>H258+I258</f>
        <v>765258.6</v>
      </c>
      <c r="K258" s="7"/>
      <c r="L258" s="7">
        <f>J258+K258</f>
        <v>765258.6</v>
      </c>
      <c r="M258" s="7"/>
      <c r="N258" s="7">
        <v>765258.6</v>
      </c>
      <c r="O258" s="7">
        <v>765258.6</v>
      </c>
      <c r="P258" s="349">
        <v>765258.6</v>
      </c>
      <c r="Q258" s="257">
        <v>100</v>
      </c>
    </row>
    <row r="259" spans="1:17" s="43" customFormat="1">
      <c r="A259" s="410" t="s">
        <v>51</v>
      </c>
      <c r="B259" s="411"/>
      <c r="C259" s="411"/>
      <c r="D259" s="411"/>
      <c r="E259" s="411"/>
      <c r="F259" s="411"/>
      <c r="G259" s="28">
        <v>42994.8</v>
      </c>
      <c r="H259" s="28">
        <v>180101.1</v>
      </c>
      <c r="I259" s="29" t="e">
        <f>I260+I266+I283+I344+I349</f>
        <v>#REF!</v>
      </c>
      <c r="J259" s="29" t="e">
        <f>J260+J266+J283+J344+J349</f>
        <v>#REF!</v>
      </c>
      <c r="K259" s="29" t="e">
        <f>K260+K266+K283+K344+K349</f>
        <v>#REF!</v>
      </c>
      <c r="L259" s="29" t="e">
        <f>L260+L266+L283+L344+L349</f>
        <v>#REF!</v>
      </c>
      <c r="M259" s="29" t="e">
        <f>M260+M266+M283+M344+M349</f>
        <v>#REF!</v>
      </c>
      <c r="N259" s="29">
        <v>228990.7</v>
      </c>
      <c r="O259" s="29">
        <v>229279.7</v>
      </c>
      <c r="P259" s="348">
        <v>229242</v>
      </c>
      <c r="Q259" s="256">
        <v>99.98</v>
      </c>
    </row>
    <row r="260" spans="1:17" s="30" customFormat="1">
      <c r="A260" s="26" t="s">
        <v>52</v>
      </c>
      <c r="B260" s="27" t="s">
        <v>502</v>
      </c>
      <c r="C260" s="27" t="s">
        <v>16</v>
      </c>
      <c r="D260" s="27"/>
      <c r="E260" s="27"/>
      <c r="F260" s="27"/>
      <c r="G260" s="28">
        <v>50</v>
      </c>
      <c r="H260" s="28">
        <v>400</v>
      </c>
      <c r="I260" s="29">
        <f t="shared" ref="I260:M261" si="111">I261</f>
        <v>0</v>
      </c>
      <c r="J260" s="29" t="e">
        <f t="shared" si="111"/>
        <v>#REF!</v>
      </c>
      <c r="K260" s="29" t="e">
        <f t="shared" si="111"/>
        <v>#REF!</v>
      </c>
      <c r="L260" s="29" t="e">
        <f t="shared" si="111"/>
        <v>#REF!</v>
      </c>
      <c r="M260" s="29" t="e">
        <f t="shared" si="111"/>
        <v>#REF!</v>
      </c>
      <c r="N260" s="29">
        <v>400</v>
      </c>
      <c r="O260" s="29">
        <v>400</v>
      </c>
      <c r="P260" s="348">
        <v>400</v>
      </c>
      <c r="Q260" s="256">
        <v>100</v>
      </c>
    </row>
    <row r="261" spans="1:17" s="30" customFormat="1">
      <c r="A261" s="26" t="s">
        <v>53</v>
      </c>
      <c r="B261" s="27" t="s">
        <v>502</v>
      </c>
      <c r="C261" s="27" t="s">
        <v>16</v>
      </c>
      <c r="D261" s="27" t="s">
        <v>54</v>
      </c>
      <c r="E261" s="27"/>
      <c r="F261" s="27"/>
      <c r="G261" s="28">
        <v>50</v>
      </c>
      <c r="H261" s="28">
        <v>400</v>
      </c>
      <c r="I261" s="29">
        <f t="shared" si="111"/>
        <v>0</v>
      </c>
      <c r="J261" s="29" t="e">
        <f>J262+#REF!</f>
        <v>#REF!</v>
      </c>
      <c r="K261" s="29" t="e">
        <f>K262+#REF!</f>
        <v>#REF!</v>
      </c>
      <c r="L261" s="29" t="e">
        <f>L262+#REF!</f>
        <v>#REF!</v>
      </c>
      <c r="M261" s="29" t="e">
        <f>M262+#REF!</f>
        <v>#REF!</v>
      </c>
      <c r="N261" s="29">
        <v>400</v>
      </c>
      <c r="O261" s="29">
        <v>400</v>
      </c>
      <c r="P261" s="348">
        <v>400</v>
      </c>
      <c r="Q261" s="256">
        <v>100</v>
      </c>
    </row>
    <row r="262" spans="1:17" s="12" customFormat="1" ht="31.5">
      <c r="A262" s="8" t="s">
        <v>592</v>
      </c>
      <c r="B262" s="10" t="s">
        <v>502</v>
      </c>
      <c r="C262" s="10" t="s">
        <v>16</v>
      </c>
      <c r="D262" s="10" t="s">
        <v>54</v>
      </c>
      <c r="E262" s="10" t="s">
        <v>55</v>
      </c>
      <c r="F262" s="41"/>
      <c r="G262" s="11">
        <v>50</v>
      </c>
      <c r="H262" s="11">
        <v>400</v>
      </c>
      <c r="I262" s="7">
        <f t="shared" ref="I262:M262" si="112">I263+I264+I265</f>
        <v>0</v>
      </c>
      <c r="J262" s="7">
        <f t="shared" si="112"/>
        <v>400</v>
      </c>
      <c r="K262" s="7">
        <f t="shared" si="112"/>
        <v>0</v>
      </c>
      <c r="L262" s="7">
        <f t="shared" si="112"/>
        <v>400</v>
      </c>
      <c r="M262" s="7">
        <f t="shared" si="112"/>
        <v>0</v>
      </c>
      <c r="N262" s="7">
        <v>400</v>
      </c>
      <c r="O262" s="7">
        <v>400</v>
      </c>
      <c r="P262" s="349">
        <v>400</v>
      </c>
      <c r="Q262" s="257">
        <v>100</v>
      </c>
    </row>
    <row r="263" spans="1:17" s="12" customFormat="1">
      <c r="A263" s="8" t="s">
        <v>356</v>
      </c>
      <c r="B263" s="10" t="s">
        <v>502</v>
      </c>
      <c r="C263" s="10" t="s">
        <v>16</v>
      </c>
      <c r="D263" s="10" t="s">
        <v>54</v>
      </c>
      <c r="E263" s="10" t="s">
        <v>55</v>
      </c>
      <c r="F263" s="10" t="s">
        <v>332</v>
      </c>
      <c r="G263" s="11">
        <v>50</v>
      </c>
      <c r="H263" s="31"/>
      <c r="I263" s="7">
        <v>85</v>
      </c>
      <c r="J263" s="7">
        <f>H263+I263</f>
        <v>85</v>
      </c>
      <c r="K263" s="7"/>
      <c r="L263" s="7">
        <f>J263+K263</f>
        <v>85</v>
      </c>
      <c r="M263" s="7"/>
      <c r="N263" s="7">
        <v>85</v>
      </c>
      <c r="O263" s="7">
        <v>85</v>
      </c>
      <c r="P263" s="349">
        <v>85</v>
      </c>
      <c r="Q263" s="257">
        <v>100</v>
      </c>
    </row>
    <row r="264" spans="1:17" s="12" customFormat="1" ht="31.5">
      <c r="A264" s="8" t="s">
        <v>361</v>
      </c>
      <c r="B264" s="10" t="s">
        <v>502</v>
      </c>
      <c r="C264" s="10" t="s">
        <v>16</v>
      </c>
      <c r="D264" s="10" t="s">
        <v>54</v>
      </c>
      <c r="E264" s="10" t="s">
        <v>55</v>
      </c>
      <c r="F264" s="10" t="s">
        <v>333</v>
      </c>
      <c r="G264" s="11"/>
      <c r="H264" s="31"/>
      <c r="I264" s="7">
        <v>30</v>
      </c>
      <c r="J264" s="7">
        <f>H264+I264</f>
        <v>30</v>
      </c>
      <c r="K264" s="7">
        <v>15</v>
      </c>
      <c r="L264" s="7">
        <f>J264+K264</f>
        <v>45</v>
      </c>
      <c r="M264" s="7">
        <v>5</v>
      </c>
      <c r="N264" s="7">
        <v>50</v>
      </c>
      <c r="O264" s="7">
        <v>50</v>
      </c>
      <c r="P264" s="349">
        <v>50</v>
      </c>
      <c r="Q264" s="257">
        <v>100</v>
      </c>
    </row>
    <row r="265" spans="1:17" s="12" customFormat="1">
      <c r="A265" s="8" t="s">
        <v>362</v>
      </c>
      <c r="B265" s="10" t="s">
        <v>502</v>
      </c>
      <c r="C265" s="10" t="s">
        <v>16</v>
      </c>
      <c r="D265" s="10" t="s">
        <v>54</v>
      </c>
      <c r="E265" s="10" t="s">
        <v>55</v>
      </c>
      <c r="F265" s="10" t="s">
        <v>334</v>
      </c>
      <c r="G265" s="11">
        <v>50</v>
      </c>
      <c r="H265" s="31">
        <v>400</v>
      </c>
      <c r="I265" s="7">
        <f>-10-30-75</f>
        <v>-115</v>
      </c>
      <c r="J265" s="7">
        <f>H265+I265</f>
        <v>285</v>
      </c>
      <c r="K265" s="7">
        <v>-15</v>
      </c>
      <c r="L265" s="7">
        <f>J265+K265</f>
        <v>270</v>
      </c>
      <c r="M265" s="7">
        <v>-5</v>
      </c>
      <c r="N265" s="7">
        <v>265</v>
      </c>
      <c r="O265" s="7">
        <v>265</v>
      </c>
      <c r="P265" s="349">
        <v>265</v>
      </c>
      <c r="Q265" s="257">
        <v>100</v>
      </c>
    </row>
    <row r="266" spans="1:17" s="30" customFormat="1">
      <c r="A266" s="26" t="s">
        <v>8</v>
      </c>
      <c r="B266" s="27" t="s">
        <v>502</v>
      </c>
      <c r="C266" s="27" t="s">
        <v>9</v>
      </c>
      <c r="D266" s="27"/>
      <c r="E266" s="27"/>
      <c r="F266" s="27"/>
      <c r="G266" s="28">
        <v>-160.5</v>
      </c>
      <c r="H266" s="28">
        <v>20339.900000000001</v>
      </c>
      <c r="I266" s="29" t="e">
        <f>I267+#REF!</f>
        <v>#REF!</v>
      </c>
      <c r="J266" s="29" t="e">
        <f>J267+J278</f>
        <v>#REF!</v>
      </c>
      <c r="K266" s="29" t="e">
        <f>K267+K278</f>
        <v>#REF!</v>
      </c>
      <c r="L266" s="29" t="e">
        <f>L267+L278</f>
        <v>#REF!</v>
      </c>
      <c r="M266" s="29" t="e">
        <f>M267+M278</f>
        <v>#REF!</v>
      </c>
      <c r="N266" s="29">
        <v>22050.2</v>
      </c>
      <c r="O266" s="29">
        <v>22050.2</v>
      </c>
      <c r="P266" s="348">
        <v>22050.1</v>
      </c>
      <c r="Q266" s="256">
        <v>100</v>
      </c>
    </row>
    <row r="267" spans="1:17" s="30" customFormat="1">
      <c r="A267" s="26" t="s">
        <v>10</v>
      </c>
      <c r="B267" s="27" t="s">
        <v>502</v>
      </c>
      <c r="C267" s="27" t="s">
        <v>9</v>
      </c>
      <c r="D267" s="27" t="s">
        <v>11</v>
      </c>
      <c r="E267" s="27"/>
      <c r="F267" s="27"/>
      <c r="G267" s="28">
        <v>-160.5</v>
      </c>
      <c r="H267" s="28">
        <v>20339.900000000001</v>
      </c>
      <c r="I267" s="29" t="e">
        <f>I272+#REF!</f>
        <v>#REF!</v>
      </c>
      <c r="J267" s="29" t="e">
        <f>J272+#REF!+J268</f>
        <v>#REF!</v>
      </c>
      <c r="K267" s="29" t="e">
        <f>K272+#REF!+K268</f>
        <v>#REF!</v>
      </c>
      <c r="L267" s="29" t="e">
        <f>L272+#REF!+L268</f>
        <v>#REF!</v>
      </c>
      <c r="M267" s="29" t="e">
        <f>M272+#REF!+M268</f>
        <v>#REF!</v>
      </c>
      <c r="N267" s="29">
        <v>21732.2</v>
      </c>
      <c r="O267" s="29">
        <v>21732.2</v>
      </c>
      <c r="P267" s="348">
        <v>21732.1</v>
      </c>
      <c r="Q267" s="256">
        <v>100</v>
      </c>
    </row>
    <row r="268" spans="1:17" s="30" customFormat="1">
      <c r="A268" s="8" t="s">
        <v>17</v>
      </c>
      <c r="B268" s="10" t="s">
        <v>502</v>
      </c>
      <c r="C268" s="10" t="s">
        <v>9</v>
      </c>
      <c r="D268" s="10" t="s">
        <v>11</v>
      </c>
      <c r="E268" s="10" t="s">
        <v>18</v>
      </c>
      <c r="F268" s="10"/>
      <c r="G268" s="11"/>
      <c r="H268" s="11"/>
      <c r="I268" s="7"/>
      <c r="J268" s="7">
        <f>J269</f>
        <v>0</v>
      </c>
      <c r="K268" s="7">
        <f t="shared" ref="K268:M270" si="113">K269</f>
        <v>1280</v>
      </c>
      <c r="L268" s="7">
        <f t="shared" si="113"/>
        <v>1280</v>
      </c>
      <c r="M268" s="7">
        <f t="shared" si="113"/>
        <v>0</v>
      </c>
      <c r="N268" s="7">
        <v>1280</v>
      </c>
      <c r="O268" s="7">
        <v>1280</v>
      </c>
      <c r="P268" s="349">
        <v>1280</v>
      </c>
      <c r="Q268" s="257">
        <v>100</v>
      </c>
    </row>
    <row r="269" spans="1:17" s="30" customFormat="1" ht="47.25">
      <c r="A269" s="8" t="s">
        <v>221</v>
      </c>
      <c r="B269" s="10" t="s">
        <v>502</v>
      </c>
      <c r="C269" s="10" t="s">
        <v>9</v>
      </c>
      <c r="D269" s="10" t="s">
        <v>11</v>
      </c>
      <c r="E269" s="10" t="s">
        <v>222</v>
      </c>
      <c r="F269" s="10"/>
      <c r="G269" s="11"/>
      <c r="H269" s="11"/>
      <c r="I269" s="7"/>
      <c r="J269" s="7">
        <f>J270</f>
        <v>0</v>
      </c>
      <c r="K269" s="7">
        <f t="shared" si="113"/>
        <v>1280</v>
      </c>
      <c r="L269" s="7">
        <f t="shared" si="113"/>
        <v>1280</v>
      </c>
      <c r="M269" s="7">
        <f t="shared" si="113"/>
        <v>0</v>
      </c>
      <c r="N269" s="7">
        <v>1280</v>
      </c>
      <c r="O269" s="7">
        <v>1280</v>
      </c>
      <c r="P269" s="349">
        <v>1280</v>
      </c>
      <c r="Q269" s="257">
        <v>100</v>
      </c>
    </row>
    <row r="270" spans="1:17" s="30" customFormat="1" ht="31.5">
      <c r="A270" s="9" t="s">
        <v>877</v>
      </c>
      <c r="B270" s="10" t="s">
        <v>502</v>
      </c>
      <c r="C270" s="10" t="s">
        <v>9</v>
      </c>
      <c r="D270" s="10" t="s">
        <v>11</v>
      </c>
      <c r="E270" s="10" t="s">
        <v>588</v>
      </c>
      <c r="F270" s="10"/>
      <c r="G270" s="11"/>
      <c r="H270" s="11"/>
      <c r="I270" s="7"/>
      <c r="J270" s="7">
        <f>J271</f>
        <v>0</v>
      </c>
      <c r="K270" s="7">
        <f t="shared" si="113"/>
        <v>1280</v>
      </c>
      <c r="L270" s="7">
        <f t="shared" si="113"/>
        <v>1280</v>
      </c>
      <c r="M270" s="7">
        <f t="shared" si="113"/>
        <v>0</v>
      </c>
      <c r="N270" s="7">
        <v>1280</v>
      </c>
      <c r="O270" s="7">
        <v>1280</v>
      </c>
      <c r="P270" s="349">
        <v>1280</v>
      </c>
      <c r="Q270" s="257">
        <v>100</v>
      </c>
    </row>
    <row r="271" spans="1:17" s="30" customFormat="1">
      <c r="A271" s="8" t="s">
        <v>373</v>
      </c>
      <c r="B271" s="10" t="s">
        <v>502</v>
      </c>
      <c r="C271" s="10" t="s">
        <v>9</v>
      </c>
      <c r="D271" s="10" t="s">
        <v>11</v>
      </c>
      <c r="E271" s="10" t="s">
        <v>588</v>
      </c>
      <c r="F271" s="10" t="s">
        <v>372</v>
      </c>
      <c r="G271" s="11"/>
      <c r="H271" s="11"/>
      <c r="I271" s="7"/>
      <c r="J271" s="7"/>
      <c r="K271" s="7">
        <v>1280</v>
      </c>
      <c r="L271" s="7">
        <f>J271+K271</f>
        <v>1280</v>
      </c>
      <c r="M271" s="7"/>
      <c r="N271" s="7">
        <v>1280</v>
      </c>
      <c r="O271" s="7">
        <v>1280</v>
      </c>
      <c r="P271" s="349">
        <v>1280</v>
      </c>
      <c r="Q271" s="257">
        <v>100</v>
      </c>
    </row>
    <row r="272" spans="1:17" s="12" customFormat="1">
      <c r="A272" s="8" t="s">
        <v>363</v>
      </c>
      <c r="B272" s="10" t="s">
        <v>502</v>
      </c>
      <c r="C272" s="10" t="s">
        <v>9</v>
      </c>
      <c r="D272" s="10" t="s">
        <v>11</v>
      </c>
      <c r="E272" s="10" t="s">
        <v>364</v>
      </c>
      <c r="F272" s="10"/>
      <c r="G272" s="11">
        <v>-917.2</v>
      </c>
      <c r="H272" s="11">
        <v>19583.2</v>
      </c>
      <c r="I272" s="7">
        <f t="shared" ref="I272:M272" si="114">I273</f>
        <v>70</v>
      </c>
      <c r="J272" s="7">
        <f t="shared" si="114"/>
        <v>19653.2</v>
      </c>
      <c r="K272" s="7">
        <f t="shared" si="114"/>
        <v>699</v>
      </c>
      <c r="L272" s="7">
        <f t="shared" si="114"/>
        <v>20352.2</v>
      </c>
      <c r="M272" s="7">
        <f t="shared" si="114"/>
        <v>100</v>
      </c>
      <c r="N272" s="7">
        <v>20452.2</v>
      </c>
      <c r="O272" s="7">
        <v>20452.2</v>
      </c>
      <c r="P272" s="349">
        <v>20452.099999999999</v>
      </c>
      <c r="Q272" s="257">
        <v>100</v>
      </c>
    </row>
    <row r="273" spans="1:17" s="12" customFormat="1" ht="31.5">
      <c r="A273" s="8" t="s">
        <v>593</v>
      </c>
      <c r="B273" s="10" t="s">
        <v>502</v>
      </c>
      <c r="C273" s="10" t="s">
        <v>9</v>
      </c>
      <c r="D273" s="10" t="s">
        <v>11</v>
      </c>
      <c r="E273" s="10" t="s">
        <v>486</v>
      </c>
      <c r="F273" s="10"/>
      <c r="G273" s="11">
        <v>-917.2</v>
      </c>
      <c r="H273" s="11">
        <v>19583.2</v>
      </c>
      <c r="I273" s="7">
        <f t="shared" ref="I273:M273" si="115">I274+I275+I276+I277</f>
        <v>70</v>
      </c>
      <c r="J273" s="7">
        <f t="shared" si="115"/>
        <v>19653.2</v>
      </c>
      <c r="K273" s="7">
        <f t="shared" si="115"/>
        <v>699</v>
      </c>
      <c r="L273" s="7">
        <f t="shared" si="115"/>
        <v>20352.2</v>
      </c>
      <c r="M273" s="7">
        <f t="shared" si="115"/>
        <v>100</v>
      </c>
      <c r="N273" s="7">
        <v>20452.2</v>
      </c>
      <c r="O273" s="7">
        <v>20452.2</v>
      </c>
      <c r="P273" s="349">
        <v>20452.099999999999</v>
      </c>
      <c r="Q273" s="257">
        <v>100</v>
      </c>
    </row>
    <row r="274" spans="1:17" s="12" customFormat="1" ht="31.5">
      <c r="A274" s="8" t="s">
        <v>389</v>
      </c>
      <c r="B274" s="10" t="s">
        <v>502</v>
      </c>
      <c r="C274" s="10" t="s">
        <v>9</v>
      </c>
      <c r="D274" s="10" t="s">
        <v>11</v>
      </c>
      <c r="E274" s="10" t="s">
        <v>486</v>
      </c>
      <c r="F274" s="10" t="s">
        <v>369</v>
      </c>
      <c r="G274" s="11">
        <v>7.7</v>
      </c>
      <c r="H274" s="31">
        <v>121.9</v>
      </c>
      <c r="I274" s="7"/>
      <c r="J274" s="7">
        <f>H274+I274</f>
        <v>121.9</v>
      </c>
      <c r="K274" s="7"/>
      <c r="L274" s="7">
        <f>J274+K274</f>
        <v>121.9</v>
      </c>
      <c r="M274" s="7"/>
      <c r="N274" s="7">
        <v>121.9</v>
      </c>
      <c r="O274" s="7">
        <v>121.9</v>
      </c>
      <c r="P274" s="349">
        <v>121.9</v>
      </c>
      <c r="Q274" s="257">
        <v>100</v>
      </c>
    </row>
    <row r="275" spans="1:17" s="12" customFormat="1" ht="31.5">
      <c r="A275" s="8" t="s">
        <v>594</v>
      </c>
      <c r="B275" s="10" t="s">
        <v>502</v>
      </c>
      <c r="C275" s="10" t="s">
        <v>9</v>
      </c>
      <c r="D275" s="10" t="s">
        <v>11</v>
      </c>
      <c r="E275" s="10" t="s">
        <v>486</v>
      </c>
      <c r="F275" s="10" t="s">
        <v>368</v>
      </c>
      <c r="G275" s="11">
        <v>865.3</v>
      </c>
      <c r="H275" s="31">
        <v>865.3</v>
      </c>
      <c r="I275" s="7"/>
      <c r="J275" s="7">
        <f>H275+I275</f>
        <v>865.3</v>
      </c>
      <c r="K275" s="7"/>
      <c r="L275" s="7">
        <f>J275+K275</f>
        <v>865.3</v>
      </c>
      <c r="M275" s="7"/>
      <c r="N275" s="7">
        <v>865.3</v>
      </c>
      <c r="O275" s="7">
        <v>865.3</v>
      </c>
      <c r="P275" s="349">
        <v>865.3</v>
      </c>
      <c r="Q275" s="257">
        <v>100</v>
      </c>
    </row>
    <row r="276" spans="1:17" s="12" customFormat="1" ht="47.25">
      <c r="A276" s="8" t="s">
        <v>360</v>
      </c>
      <c r="B276" s="10" t="s">
        <v>502</v>
      </c>
      <c r="C276" s="10" t="s">
        <v>9</v>
      </c>
      <c r="D276" s="10" t="s">
        <v>11</v>
      </c>
      <c r="E276" s="10" t="s">
        <v>486</v>
      </c>
      <c r="F276" s="10" t="s">
        <v>359</v>
      </c>
      <c r="G276" s="11">
        <v>-1801.7</v>
      </c>
      <c r="H276" s="31">
        <v>18584.5</v>
      </c>
      <c r="I276" s="7">
        <f>70-1303.1</f>
        <v>-1233.0999999999999</v>
      </c>
      <c r="J276" s="7">
        <f>H276+I276</f>
        <v>17351.400000000001</v>
      </c>
      <c r="K276" s="7">
        <v>699</v>
      </c>
      <c r="L276" s="7">
        <f>J276+K276</f>
        <v>18050.400000000001</v>
      </c>
      <c r="M276" s="7"/>
      <c r="N276" s="7">
        <v>18050.400000000001</v>
      </c>
      <c r="O276" s="7">
        <v>18050.400000000001</v>
      </c>
      <c r="P276" s="349">
        <v>18050.400000000001</v>
      </c>
      <c r="Q276" s="257">
        <v>100</v>
      </c>
    </row>
    <row r="277" spans="1:17" s="12" customFormat="1">
      <c r="A277" s="8" t="s">
        <v>373</v>
      </c>
      <c r="B277" s="10" t="s">
        <v>502</v>
      </c>
      <c r="C277" s="10" t="s">
        <v>9</v>
      </c>
      <c r="D277" s="10" t="s">
        <v>11</v>
      </c>
      <c r="E277" s="10" t="s">
        <v>486</v>
      </c>
      <c r="F277" s="41" t="s">
        <v>372</v>
      </c>
      <c r="G277" s="11">
        <v>11.5</v>
      </c>
      <c r="H277" s="31">
        <v>11.5</v>
      </c>
      <c r="I277" s="7">
        <v>1303.0999999999999</v>
      </c>
      <c r="J277" s="7">
        <f>H277+I277</f>
        <v>1314.6</v>
      </c>
      <c r="K277" s="7"/>
      <c r="L277" s="7">
        <f>J277+K277</f>
        <v>1314.6</v>
      </c>
      <c r="M277" s="7">
        <v>100</v>
      </c>
      <c r="N277" s="7">
        <v>1414.6</v>
      </c>
      <c r="O277" s="7">
        <v>1414.6</v>
      </c>
      <c r="P277" s="349">
        <v>1414.5</v>
      </c>
      <c r="Q277" s="257">
        <v>99.99</v>
      </c>
    </row>
    <row r="278" spans="1:17" s="12" customFormat="1" ht="31.5">
      <c r="A278" s="26" t="s">
        <v>75</v>
      </c>
      <c r="B278" s="27" t="s">
        <v>502</v>
      </c>
      <c r="C278" s="27" t="s">
        <v>9</v>
      </c>
      <c r="D278" s="27" t="s">
        <v>31</v>
      </c>
      <c r="E278" s="27"/>
      <c r="F278" s="41"/>
      <c r="G278" s="11"/>
      <c r="H278" s="31"/>
      <c r="I278" s="7"/>
      <c r="J278" s="29">
        <f t="shared" ref="J278:M279" si="116">J279</f>
        <v>18</v>
      </c>
      <c r="K278" s="29">
        <f t="shared" si="116"/>
        <v>300</v>
      </c>
      <c r="L278" s="29">
        <f t="shared" si="116"/>
        <v>318</v>
      </c>
      <c r="M278" s="29">
        <f t="shared" si="116"/>
        <v>0</v>
      </c>
      <c r="N278" s="29">
        <v>318</v>
      </c>
      <c r="O278" s="29">
        <v>318</v>
      </c>
      <c r="P278" s="348">
        <v>318</v>
      </c>
      <c r="Q278" s="256">
        <v>100</v>
      </c>
    </row>
    <row r="279" spans="1:17" s="12" customFormat="1">
      <c r="A279" s="8" t="s">
        <v>343</v>
      </c>
      <c r="B279" s="10" t="s">
        <v>502</v>
      </c>
      <c r="C279" s="10" t="s">
        <v>9</v>
      </c>
      <c r="D279" s="10" t="s">
        <v>31</v>
      </c>
      <c r="E279" s="10" t="s">
        <v>342</v>
      </c>
      <c r="F279" s="41"/>
      <c r="G279" s="11"/>
      <c r="H279" s="31"/>
      <c r="I279" s="7"/>
      <c r="J279" s="7">
        <f t="shared" si="116"/>
        <v>18</v>
      </c>
      <c r="K279" s="7">
        <f t="shared" si="116"/>
        <v>300</v>
      </c>
      <c r="L279" s="7">
        <f t="shared" si="116"/>
        <v>318</v>
      </c>
      <c r="M279" s="7">
        <f t="shared" si="116"/>
        <v>0</v>
      </c>
      <c r="N279" s="7">
        <v>318</v>
      </c>
      <c r="O279" s="7">
        <v>318</v>
      </c>
      <c r="P279" s="349">
        <v>318</v>
      </c>
      <c r="Q279" s="257">
        <v>100</v>
      </c>
    </row>
    <row r="280" spans="1:17" s="12" customFormat="1" ht="31.5">
      <c r="A280" s="8" t="s">
        <v>471</v>
      </c>
      <c r="B280" s="10" t="s">
        <v>502</v>
      </c>
      <c r="C280" s="10" t="s">
        <v>9</v>
      </c>
      <c r="D280" s="10" t="s">
        <v>31</v>
      </c>
      <c r="E280" s="10" t="s">
        <v>344</v>
      </c>
      <c r="F280" s="41"/>
      <c r="G280" s="11"/>
      <c r="H280" s="31"/>
      <c r="I280" s="7"/>
      <c r="J280" s="7">
        <f t="shared" ref="J280:M280" si="117">J282+J281</f>
        <v>18</v>
      </c>
      <c r="K280" s="7">
        <f t="shared" si="117"/>
        <v>300</v>
      </c>
      <c r="L280" s="7">
        <f t="shared" si="117"/>
        <v>318</v>
      </c>
      <c r="M280" s="7">
        <f t="shared" si="117"/>
        <v>0</v>
      </c>
      <c r="N280" s="7">
        <v>318</v>
      </c>
      <c r="O280" s="7">
        <v>318</v>
      </c>
      <c r="P280" s="349">
        <v>318</v>
      </c>
      <c r="Q280" s="257">
        <v>100</v>
      </c>
    </row>
    <row r="281" spans="1:17" s="12" customFormat="1">
      <c r="A281" s="8" t="s">
        <v>356</v>
      </c>
      <c r="B281" s="10" t="s">
        <v>502</v>
      </c>
      <c r="C281" s="10" t="s">
        <v>9</v>
      </c>
      <c r="D281" s="10" t="s">
        <v>31</v>
      </c>
      <c r="E281" s="10" t="s">
        <v>344</v>
      </c>
      <c r="F281" s="41" t="s">
        <v>332</v>
      </c>
      <c r="G281" s="11"/>
      <c r="H281" s="31"/>
      <c r="I281" s="7"/>
      <c r="J281" s="7"/>
      <c r="K281" s="7">
        <v>300</v>
      </c>
      <c r="L281" s="7">
        <f>J281+K281</f>
        <v>300</v>
      </c>
      <c r="M281" s="7"/>
      <c r="N281" s="7">
        <v>300</v>
      </c>
      <c r="O281" s="7">
        <v>300</v>
      </c>
      <c r="P281" s="349">
        <v>300</v>
      </c>
      <c r="Q281" s="257">
        <v>100</v>
      </c>
    </row>
    <row r="282" spans="1:17" s="12" customFormat="1">
      <c r="A282" s="8" t="s">
        <v>362</v>
      </c>
      <c r="B282" s="10" t="s">
        <v>502</v>
      </c>
      <c r="C282" s="10" t="s">
        <v>9</v>
      </c>
      <c r="D282" s="10" t="s">
        <v>31</v>
      </c>
      <c r="E282" s="10" t="s">
        <v>344</v>
      </c>
      <c r="F282" s="10" t="s">
        <v>334</v>
      </c>
      <c r="G282" s="11"/>
      <c r="H282" s="31"/>
      <c r="I282" s="7"/>
      <c r="J282" s="7">
        <v>18</v>
      </c>
      <c r="K282" s="7"/>
      <c r="L282" s="7">
        <f>J282+K282</f>
        <v>18</v>
      </c>
      <c r="M282" s="7"/>
      <c r="N282" s="7">
        <v>18</v>
      </c>
      <c r="O282" s="7">
        <v>18</v>
      </c>
      <c r="P282" s="349">
        <v>18</v>
      </c>
      <c r="Q282" s="257">
        <v>100</v>
      </c>
    </row>
    <row r="283" spans="1:17" s="30" customFormat="1" ht="31.5">
      <c r="A283" s="26" t="s">
        <v>453</v>
      </c>
      <c r="B283" s="27" t="s">
        <v>502</v>
      </c>
      <c r="C283" s="27" t="s">
        <v>56</v>
      </c>
      <c r="D283" s="27"/>
      <c r="E283" s="27"/>
      <c r="F283" s="27" t="s">
        <v>376</v>
      </c>
      <c r="G283" s="28">
        <v>45049.8</v>
      </c>
      <c r="H283" s="28">
        <v>155499.79999999999</v>
      </c>
      <c r="I283" s="29" t="e">
        <f>I284+I318</f>
        <v>#REF!</v>
      </c>
      <c r="J283" s="29" t="e">
        <f>J284+J318</f>
        <v>#REF!</v>
      </c>
      <c r="K283" s="29" t="e">
        <f>K284+K318</f>
        <v>#REF!</v>
      </c>
      <c r="L283" s="29" t="e">
        <f>L284+L318</f>
        <v>#REF!</v>
      </c>
      <c r="M283" s="29" t="e">
        <f>M284+M318</f>
        <v>#REF!</v>
      </c>
      <c r="N283" s="29">
        <v>180432.8</v>
      </c>
      <c r="O283" s="29">
        <v>180721.8</v>
      </c>
      <c r="P283" s="348">
        <v>180684.2</v>
      </c>
      <c r="Q283" s="256">
        <v>99.98</v>
      </c>
    </row>
    <row r="284" spans="1:17" s="30" customFormat="1">
      <c r="A284" s="26" t="s">
        <v>57</v>
      </c>
      <c r="B284" s="27" t="s">
        <v>502</v>
      </c>
      <c r="C284" s="27" t="s">
        <v>56</v>
      </c>
      <c r="D284" s="27" t="s">
        <v>16</v>
      </c>
      <c r="E284" s="27"/>
      <c r="F284" s="27"/>
      <c r="G284" s="28">
        <v>42611.6</v>
      </c>
      <c r="H284" s="28">
        <v>140734.79999999999</v>
      </c>
      <c r="I284" s="29" t="e">
        <f>I290+I298+#REF!</f>
        <v>#REF!</v>
      </c>
      <c r="J284" s="29" t="e">
        <f>J290+J298+#REF!</f>
        <v>#REF!</v>
      </c>
      <c r="K284" s="29" t="e">
        <f>K290+K298+#REF!+#REF!+K285</f>
        <v>#REF!</v>
      </c>
      <c r="L284" s="29" t="e">
        <f>L290+L298+#REF!+#REF!+L285</f>
        <v>#REF!</v>
      </c>
      <c r="M284" s="29" t="e">
        <f>M290+M298+#REF!+#REF!+M285</f>
        <v>#REF!</v>
      </c>
      <c r="N284" s="29">
        <v>164369.79999999999</v>
      </c>
      <c r="O284" s="29">
        <v>164658.79999999999</v>
      </c>
      <c r="P284" s="348">
        <v>164658.79999999999</v>
      </c>
      <c r="Q284" s="256">
        <v>100</v>
      </c>
    </row>
    <row r="285" spans="1:17" s="30" customFormat="1" ht="31.5">
      <c r="A285" s="8" t="s">
        <v>922</v>
      </c>
      <c r="B285" s="10" t="s">
        <v>502</v>
      </c>
      <c r="C285" s="10" t="s">
        <v>56</v>
      </c>
      <c r="D285" s="10" t="s">
        <v>16</v>
      </c>
      <c r="E285" s="10" t="s">
        <v>921</v>
      </c>
      <c r="F285" s="10"/>
      <c r="G285" s="11"/>
      <c r="H285" s="11"/>
      <c r="I285" s="7"/>
      <c r="J285" s="7"/>
      <c r="K285" s="7">
        <f t="shared" ref="K285:M286" si="118">K286</f>
        <v>100</v>
      </c>
      <c r="L285" s="7">
        <f t="shared" si="118"/>
        <v>100</v>
      </c>
      <c r="M285" s="7">
        <f t="shared" si="118"/>
        <v>0</v>
      </c>
      <c r="N285" s="7">
        <v>100</v>
      </c>
      <c r="O285" s="7">
        <v>100</v>
      </c>
      <c r="P285" s="349">
        <v>100</v>
      </c>
      <c r="Q285" s="257">
        <v>100</v>
      </c>
    </row>
    <row r="286" spans="1:17" s="30" customFormat="1" ht="31.5">
      <c r="A286" s="8" t="s">
        <v>923</v>
      </c>
      <c r="B286" s="10" t="s">
        <v>502</v>
      </c>
      <c r="C286" s="10" t="s">
        <v>56</v>
      </c>
      <c r="D286" s="10" t="s">
        <v>16</v>
      </c>
      <c r="E286" s="10" t="s">
        <v>920</v>
      </c>
      <c r="F286" s="10"/>
      <c r="G286" s="11"/>
      <c r="H286" s="11"/>
      <c r="I286" s="7"/>
      <c r="J286" s="7"/>
      <c r="K286" s="7">
        <f t="shared" si="118"/>
        <v>100</v>
      </c>
      <c r="L286" s="7">
        <f t="shared" si="118"/>
        <v>100</v>
      </c>
      <c r="M286" s="7">
        <f t="shared" si="118"/>
        <v>0</v>
      </c>
      <c r="N286" s="7">
        <v>100</v>
      </c>
      <c r="O286" s="7">
        <v>100</v>
      </c>
      <c r="P286" s="349">
        <v>100</v>
      </c>
      <c r="Q286" s="257">
        <v>100</v>
      </c>
    </row>
    <row r="287" spans="1:17" s="30" customFormat="1">
      <c r="A287" s="8" t="s">
        <v>367</v>
      </c>
      <c r="B287" s="10" t="s">
        <v>502</v>
      </c>
      <c r="C287" s="10" t="s">
        <v>56</v>
      </c>
      <c r="D287" s="10" t="s">
        <v>16</v>
      </c>
      <c r="E287" s="10" t="s">
        <v>920</v>
      </c>
      <c r="F287" s="10" t="s">
        <v>365</v>
      </c>
      <c r="G287" s="11"/>
      <c r="H287" s="11"/>
      <c r="I287" s="7"/>
      <c r="J287" s="7"/>
      <c r="K287" s="7">
        <v>100</v>
      </c>
      <c r="L287" s="7">
        <f>J287+K287</f>
        <v>100</v>
      </c>
      <c r="M287" s="7"/>
      <c r="N287" s="7">
        <v>100</v>
      </c>
      <c r="O287" s="7">
        <v>100</v>
      </c>
      <c r="P287" s="349">
        <v>100</v>
      </c>
      <c r="Q287" s="257">
        <v>100</v>
      </c>
    </row>
    <row r="288" spans="1:17" s="47" customFormat="1" ht="78.75">
      <c r="A288" s="8" t="s">
        <v>1057</v>
      </c>
      <c r="B288" s="44" t="s">
        <v>502</v>
      </c>
      <c r="C288" s="44" t="s">
        <v>56</v>
      </c>
      <c r="D288" s="44" t="s">
        <v>16</v>
      </c>
      <c r="E288" s="44" t="s">
        <v>1056</v>
      </c>
      <c r="F288" s="44"/>
      <c r="G288" s="45"/>
      <c r="H288" s="45"/>
      <c r="I288" s="46"/>
      <c r="J288" s="46"/>
      <c r="K288" s="46"/>
      <c r="L288" s="46"/>
      <c r="M288" s="46"/>
      <c r="N288" s="52">
        <v>0</v>
      </c>
      <c r="O288" s="52">
        <v>289</v>
      </c>
      <c r="P288" s="349">
        <v>289</v>
      </c>
      <c r="Q288" s="257">
        <v>100</v>
      </c>
    </row>
    <row r="289" spans="1:17" s="30" customFormat="1">
      <c r="A289" s="8" t="s">
        <v>373</v>
      </c>
      <c r="B289" s="10" t="s">
        <v>502</v>
      </c>
      <c r="C289" s="10" t="s">
        <v>56</v>
      </c>
      <c r="D289" s="10" t="s">
        <v>16</v>
      </c>
      <c r="E289" s="10" t="s">
        <v>1056</v>
      </c>
      <c r="F289" s="10" t="s">
        <v>372</v>
      </c>
      <c r="G289" s="11"/>
      <c r="H289" s="11"/>
      <c r="I289" s="7"/>
      <c r="J289" s="7"/>
      <c r="K289" s="7"/>
      <c r="L289" s="7"/>
      <c r="M289" s="7"/>
      <c r="N289" s="7">
        <v>0</v>
      </c>
      <c r="O289" s="7">
        <v>289</v>
      </c>
      <c r="P289" s="349">
        <v>289</v>
      </c>
      <c r="Q289" s="257">
        <v>100</v>
      </c>
    </row>
    <row r="290" spans="1:17" s="12" customFormat="1">
      <c r="A290" s="8" t="s">
        <v>17</v>
      </c>
      <c r="B290" s="10" t="s">
        <v>502</v>
      </c>
      <c r="C290" s="10" t="s">
        <v>56</v>
      </c>
      <c r="D290" s="10" t="s">
        <v>16</v>
      </c>
      <c r="E290" s="10" t="s">
        <v>18</v>
      </c>
      <c r="F290" s="10"/>
      <c r="G290" s="11">
        <v>1550</v>
      </c>
      <c r="H290" s="11">
        <v>1950</v>
      </c>
      <c r="I290" s="7">
        <f t="shared" ref="I290:M290" si="119">I293+I291+I296</f>
        <v>1086.5</v>
      </c>
      <c r="J290" s="7">
        <f t="shared" si="119"/>
        <v>3036.5</v>
      </c>
      <c r="K290" s="7">
        <f t="shared" si="119"/>
        <v>0</v>
      </c>
      <c r="L290" s="7">
        <f t="shared" si="119"/>
        <v>3036.5</v>
      </c>
      <c r="M290" s="7">
        <f t="shared" si="119"/>
        <v>0</v>
      </c>
      <c r="N290" s="7">
        <v>3036.5</v>
      </c>
      <c r="O290" s="7">
        <v>3036.5</v>
      </c>
      <c r="P290" s="349">
        <v>3036.5</v>
      </c>
      <c r="Q290" s="257">
        <v>100</v>
      </c>
    </row>
    <row r="291" spans="1:17" s="12" customFormat="1">
      <c r="A291" s="8" t="s">
        <v>1009</v>
      </c>
      <c r="B291" s="10" t="s">
        <v>502</v>
      </c>
      <c r="C291" s="10" t="s">
        <v>56</v>
      </c>
      <c r="D291" s="10" t="s">
        <v>16</v>
      </c>
      <c r="E291" s="10" t="s">
        <v>66</v>
      </c>
      <c r="F291" s="10"/>
      <c r="G291" s="11"/>
      <c r="H291" s="11">
        <f t="shared" ref="H291:M291" si="120">H292</f>
        <v>0</v>
      </c>
      <c r="I291" s="11">
        <f t="shared" si="120"/>
        <v>100</v>
      </c>
      <c r="J291" s="11">
        <f t="shared" si="120"/>
        <v>100</v>
      </c>
      <c r="K291" s="11">
        <f t="shared" si="120"/>
        <v>0</v>
      </c>
      <c r="L291" s="11">
        <f t="shared" si="120"/>
        <v>100</v>
      </c>
      <c r="M291" s="11">
        <f t="shared" si="120"/>
        <v>0</v>
      </c>
      <c r="N291" s="11">
        <v>100</v>
      </c>
      <c r="O291" s="52">
        <v>100</v>
      </c>
      <c r="P291" s="349">
        <v>100</v>
      </c>
      <c r="Q291" s="257">
        <v>100</v>
      </c>
    </row>
    <row r="292" spans="1:17" s="12" customFormat="1">
      <c r="A292" s="8" t="s">
        <v>367</v>
      </c>
      <c r="B292" s="10" t="s">
        <v>502</v>
      </c>
      <c r="C292" s="10" t="s">
        <v>56</v>
      </c>
      <c r="D292" s="10" t="s">
        <v>16</v>
      </c>
      <c r="E292" s="10" t="s">
        <v>66</v>
      </c>
      <c r="F292" s="10" t="s">
        <v>365</v>
      </c>
      <c r="G292" s="11"/>
      <c r="H292" s="11"/>
      <c r="I292" s="7">
        <v>100</v>
      </c>
      <c r="J292" s="7">
        <f>H292+I292</f>
        <v>100</v>
      </c>
      <c r="K292" s="7"/>
      <c r="L292" s="7">
        <f>J292+K292</f>
        <v>100</v>
      </c>
      <c r="M292" s="7"/>
      <c r="N292" s="7">
        <v>100</v>
      </c>
      <c r="O292" s="7">
        <v>100</v>
      </c>
      <c r="P292" s="349">
        <v>100</v>
      </c>
      <c r="Q292" s="257">
        <v>100</v>
      </c>
    </row>
    <row r="293" spans="1:17" s="12" customFormat="1">
      <c r="A293" s="8" t="s">
        <v>60</v>
      </c>
      <c r="B293" s="10" t="s">
        <v>502</v>
      </c>
      <c r="C293" s="10" t="s">
        <v>56</v>
      </c>
      <c r="D293" s="10" t="s">
        <v>16</v>
      </c>
      <c r="E293" s="10" t="s">
        <v>61</v>
      </c>
      <c r="F293" s="10"/>
      <c r="G293" s="11">
        <v>1550</v>
      </c>
      <c r="H293" s="11">
        <v>1950</v>
      </c>
      <c r="I293" s="7">
        <f t="shared" ref="I293:M293" si="121">I294+I295</f>
        <v>0</v>
      </c>
      <c r="J293" s="7">
        <f t="shared" si="121"/>
        <v>1950</v>
      </c>
      <c r="K293" s="7">
        <f t="shared" si="121"/>
        <v>0</v>
      </c>
      <c r="L293" s="7">
        <f t="shared" si="121"/>
        <v>1950</v>
      </c>
      <c r="M293" s="7">
        <f t="shared" si="121"/>
        <v>0</v>
      </c>
      <c r="N293" s="7">
        <v>1950</v>
      </c>
      <c r="O293" s="7">
        <v>1950</v>
      </c>
      <c r="P293" s="349">
        <v>1950</v>
      </c>
      <c r="Q293" s="257">
        <v>100</v>
      </c>
    </row>
    <row r="294" spans="1:17" s="12" customFormat="1" ht="31.5">
      <c r="A294" s="8" t="s">
        <v>449</v>
      </c>
      <c r="B294" s="10" t="s">
        <v>502</v>
      </c>
      <c r="C294" s="10" t="s">
        <v>56</v>
      </c>
      <c r="D294" s="10" t="s">
        <v>16</v>
      </c>
      <c r="E294" s="10" t="s">
        <v>61</v>
      </c>
      <c r="F294" s="10" t="s">
        <v>381</v>
      </c>
      <c r="G294" s="11">
        <v>0</v>
      </c>
      <c r="H294" s="31">
        <v>400</v>
      </c>
      <c r="I294" s="7"/>
      <c r="J294" s="7">
        <f>H294+I294</f>
        <v>400</v>
      </c>
      <c r="K294" s="7"/>
      <c r="L294" s="7">
        <f>J294+K294</f>
        <v>400</v>
      </c>
      <c r="M294" s="7"/>
      <c r="N294" s="7">
        <v>400</v>
      </c>
      <c r="O294" s="7">
        <v>400</v>
      </c>
      <c r="P294" s="349">
        <v>400</v>
      </c>
      <c r="Q294" s="257">
        <v>100</v>
      </c>
    </row>
    <row r="295" spans="1:17" s="12" customFormat="1">
      <c r="A295" s="8" t="s">
        <v>373</v>
      </c>
      <c r="B295" s="10" t="s">
        <v>502</v>
      </c>
      <c r="C295" s="10" t="s">
        <v>56</v>
      </c>
      <c r="D295" s="10" t="s">
        <v>16</v>
      </c>
      <c r="E295" s="10" t="s">
        <v>61</v>
      </c>
      <c r="F295" s="10" t="s">
        <v>372</v>
      </c>
      <c r="G295" s="11">
        <v>1550</v>
      </c>
      <c r="H295" s="31">
        <v>1550</v>
      </c>
      <c r="I295" s="7"/>
      <c r="J295" s="7">
        <f>H295+I295</f>
        <v>1550</v>
      </c>
      <c r="K295" s="7"/>
      <c r="L295" s="7">
        <f>J295+K295</f>
        <v>1550</v>
      </c>
      <c r="M295" s="7"/>
      <c r="N295" s="7">
        <v>1550</v>
      </c>
      <c r="O295" s="7">
        <v>1550</v>
      </c>
      <c r="P295" s="349">
        <v>1550</v>
      </c>
      <c r="Q295" s="257">
        <v>100</v>
      </c>
    </row>
    <row r="296" spans="1:17" s="12" customFormat="1">
      <c r="A296" s="8" t="s">
        <v>869</v>
      </c>
      <c r="B296" s="10" t="s">
        <v>502</v>
      </c>
      <c r="C296" s="10" t="s">
        <v>56</v>
      </c>
      <c r="D296" s="10" t="s">
        <v>16</v>
      </c>
      <c r="E296" s="10" t="s">
        <v>868</v>
      </c>
      <c r="F296" s="10"/>
      <c r="G296" s="11"/>
      <c r="H296" s="31">
        <f t="shared" ref="H296:M296" si="122">H297</f>
        <v>0</v>
      </c>
      <c r="I296" s="31">
        <f t="shared" si="122"/>
        <v>986.5</v>
      </c>
      <c r="J296" s="31">
        <f t="shared" si="122"/>
        <v>986.5</v>
      </c>
      <c r="K296" s="31">
        <f t="shared" si="122"/>
        <v>0</v>
      </c>
      <c r="L296" s="31">
        <f t="shared" si="122"/>
        <v>986.5</v>
      </c>
      <c r="M296" s="31">
        <f t="shared" si="122"/>
        <v>0</v>
      </c>
      <c r="N296" s="31">
        <v>986.5</v>
      </c>
      <c r="O296" s="36">
        <v>986.5</v>
      </c>
      <c r="P296" s="350">
        <v>986.5</v>
      </c>
      <c r="Q296" s="257">
        <v>100</v>
      </c>
    </row>
    <row r="297" spans="1:17" s="12" customFormat="1">
      <c r="A297" s="8" t="s">
        <v>373</v>
      </c>
      <c r="B297" s="10" t="s">
        <v>502</v>
      </c>
      <c r="C297" s="10" t="s">
        <v>56</v>
      </c>
      <c r="D297" s="10" t="s">
        <v>16</v>
      </c>
      <c r="E297" s="10" t="s">
        <v>868</v>
      </c>
      <c r="F297" s="10" t="s">
        <v>372</v>
      </c>
      <c r="G297" s="11"/>
      <c r="H297" s="31"/>
      <c r="I297" s="7">
        <v>986.5</v>
      </c>
      <c r="J297" s="7">
        <f>H297+I297</f>
        <v>986.5</v>
      </c>
      <c r="K297" s="7"/>
      <c r="L297" s="7">
        <f>J297+K297</f>
        <v>986.5</v>
      </c>
      <c r="M297" s="7"/>
      <c r="N297" s="7">
        <v>986.5</v>
      </c>
      <c r="O297" s="7">
        <v>986.5</v>
      </c>
      <c r="P297" s="349">
        <v>986.5</v>
      </c>
      <c r="Q297" s="257">
        <v>100</v>
      </c>
    </row>
    <row r="298" spans="1:17" s="12" customFormat="1">
      <c r="A298" s="8" t="s">
        <v>363</v>
      </c>
      <c r="B298" s="10" t="s">
        <v>502</v>
      </c>
      <c r="C298" s="10" t="s">
        <v>56</v>
      </c>
      <c r="D298" s="10" t="s">
        <v>16</v>
      </c>
      <c r="E298" s="10" t="s">
        <v>364</v>
      </c>
      <c r="F298" s="10"/>
      <c r="G298" s="11">
        <v>23679.8</v>
      </c>
      <c r="H298" s="11">
        <v>121403</v>
      </c>
      <c r="I298" s="7" t="e">
        <f>I299+I304+I307+I313+I315+#REF!</f>
        <v>#REF!</v>
      </c>
      <c r="J298" s="7">
        <f t="shared" ref="J298:M298" si="123">J299+J304+J307+J313+J315</f>
        <v>127060.2</v>
      </c>
      <c r="K298" s="7">
        <f t="shared" si="123"/>
        <v>31229.3</v>
      </c>
      <c r="L298" s="7">
        <f t="shared" si="123"/>
        <v>158289.5</v>
      </c>
      <c r="M298" s="7">
        <f t="shared" si="123"/>
        <v>2943.8</v>
      </c>
      <c r="N298" s="7">
        <v>161233.29999999999</v>
      </c>
      <c r="O298" s="7">
        <v>161233.29999999999</v>
      </c>
      <c r="P298" s="349">
        <v>161233.29999999999</v>
      </c>
      <c r="Q298" s="257">
        <v>100</v>
      </c>
    </row>
    <row r="299" spans="1:17" s="12" customFormat="1" ht="31.5">
      <c r="A299" s="8" t="s">
        <v>599</v>
      </c>
      <c r="B299" s="10" t="s">
        <v>502</v>
      </c>
      <c r="C299" s="10" t="s">
        <v>56</v>
      </c>
      <c r="D299" s="10" t="s">
        <v>16</v>
      </c>
      <c r="E299" s="10" t="s">
        <v>487</v>
      </c>
      <c r="F299" s="10"/>
      <c r="G299" s="11">
        <v>23458.7</v>
      </c>
      <c r="H299" s="11">
        <v>42058.7</v>
      </c>
      <c r="I299" s="7">
        <f t="shared" ref="I299:M299" si="124">I300+I301+I302+I303</f>
        <v>743.7</v>
      </c>
      <c r="J299" s="7">
        <f t="shared" si="124"/>
        <v>42802.400000000001</v>
      </c>
      <c r="K299" s="7">
        <f t="shared" si="124"/>
        <v>2797.8</v>
      </c>
      <c r="L299" s="7">
        <f t="shared" si="124"/>
        <v>45600.2</v>
      </c>
      <c r="M299" s="7">
        <f t="shared" si="124"/>
        <v>13.9</v>
      </c>
      <c r="N299" s="7">
        <v>45614.1</v>
      </c>
      <c r="O299" s="7">
        <v>45614.1</v>
      </c>
      <c r="P299" s="349">
        <v>45614.1</v>
      </c>
      <c r="Q299" s="257">
        <v>100</v>
      </c>
    </row>
    <row r="300" spans="1:17" s="12" customFormat="1" ht="47.25">
      <c r="A300" s="8" t="s">
        <v>360</v>
      </c>
      <c r="B300" s="10" t="s">
        <v>502</v>
      </c>
      <c r="C300" s="10" t="s">
        <v>56</v>
      </c>
      <c r="D300" s="10" t="s">
        <v>16</v>
      </c>
      <c r="E300" s="10" t="s">
        <v>487</v>
      </c>
      <c r="F300" s="10" t="s">
        <v>359</v>
      </c>
      <c r="G300" s="11">
        <v>18819</v>
      </c>
      <c r="H300" s="31">
        <v>35419</v>
      </c>
      <c r="I300" s="7"/>
      <c r="J300" s="7">
        <f>H300+I300</f>
        <v>35419</v>
      </c>
      <c r="K300" s="7">
        <v>2826.4</v>
      </c>
      <c r="L300" s="7">
        <f>J300+K300</f>
        <v>38245.4</v>
      </c>
      <c r="M300" s="7">
        <v>-893.7</v>
      </c>
      <c r="N300" s="7">
        <v>37351.699999999997</v>
      </c>
      <c r="O300" s="7">
        <v>37351.699999999997</v>
      </c>
      <c r="P300" s="349">
        <v>37351.699999999997</v>
      </c>
      <c r="Q300" s="257">
        <v>100</v>
      </c>
    </row>
    <row r="301" spans="1:17" s="12" customFormat="1">
      <c r="A301" s="8" t="s">
        <v>373</v>
      </c>
      <c r="B301" s="10" t="s">
        <v>502</v>
      </c>
      <c r="C301" s="10" t="s">
        <v>56</v>
      </c>
      <c r="D301" s="10" t="s">
        <v>16</v>
      </c>
      <c r="E301" s="10" t="s">
        <v>487</v>
      </c>
      <c r="F301" s="10" t="s">
        <v>372</v>
      </c>
      <c r="G301" s="11">
        <v>4660</v>
      </c>
      <c r="H301" s="31">
        <v>4660</v>
      </c>
      <c r="I301" s="7"/>
      <c r="J301" s="7">
        <f>H301+I301</f>
        <v>4660</v>
      </c>
      <c r="K301" s="7">
        <f>602.2-1000</f>
        <v>-397.8</v>
      </c>
      <c r="L301" s="7">
        <f>J301+K301</f>
        <v>4262.2</v>
      </c>
      <c r="M301" s="7">
        <v>884</v>
      </c>
      <c r="N301" s="7">
        <v>5146.2</v>
      </c>
      <c r="O301" s="7">
        <v>5146.2</v>
      </c>
      <c r="P301" s="349">
        <v>5146.2</v>
      </c>
      <c r="Q301" s="257">
        <v>100</v>
      </c>
    </row>
    <row r="302" spans="1:17" s="12" customFormat="1" ht="47.25">
      <c r="A302" s="8" t="s">
        <v>366</v>
      </c>
      <c r="B302" s="10" t="s">
        <v>502</v>
      </c>
      <c r="C302" s="10" t="s">
        <v>56</v>
      </c>
      <c r="D302" s="10" t="s">
        <v>16</v>
      </c>
      <c r="E302" s="10" t="s">
        <v>487</v>
      </c>
      <c r="F302" s="10" t="s">
        <v>355</v>
      </c>
      <c r="G302" s="11">
        <v>-20.3</v>
      </c>
      <c r="H302" s="31">
        <v>1979.7</v>
      </c>
      <c r="I302" s="7"/>
      <c r="J302" s="7">
        <f>H302+I302</f>
        <v>1979.7</v>
      </c>
      <c r="K302" s="7">
        <v>369.2</v>
      </c>
      <c r="L302" s="7">
        <f>J302+K302</f>
        <v>2348.9</v>
      </c>
      <c r="M302" s="7">
        <v>23.6</v>
      </c>
      <c r="N302" s="7">
        <v>2372.5</v>
      </c>
      <c r="O302" s="7">
        <v>2372.5</v>
      </c>
      <c r="P302" s="349">
        <v>2372.5</v>
      </c>
      <c r="Q302" s="257">
        <v>100</v>
      </c>
    </row>
    <row r="303" spans="1:17" s="12" customFormat="1">
      <c r="A303" s="8" t="s">
        <v>367</v>
      </c>
      <c r="B303" s="10" t="s">
        <v>502</v>
      </c>
      <c r="C303" s="10" t="s">
        <v>56</v>
      </c>
      <c r="D303" s="10" t="s">
        <v>16</v>
      </c>
      <c r="E303" s="10" t="s">
        <v>487</v>
      </c>
      <c r="F303" s="10" t="s">
        <v>365</v>
      </c>
      <c r="G303" s="11"/>
      <c r="H303" s="31"/>
      <c r="I303" s="7">
        <v>743.7</v>
      </c>
      <c r="J303" s="7">
        <f>H303+I303</f>
        <v>743.7</v>
      </c>
      <c r="K303" s="7"/>
      <c r="L303" s="7">
        <f>J303+K303</f>
        <v>743.7</v>
      </c>
      <c r="M303" s="7"/>
      <c r="N303" s="7">
        <v>743.7</v>
      </c>
      <c r="O303" s="7">
        <v>743.7</v>
      </c>
      <c r="P303" s="349">
        <v>743.7</v>
      </c>
      <c r="Q303" s="257">
        <v>100</v>
      </c>
    </row>
    <row r="304" spans="1:17" s="12" customFormat="1" ht="31.5">
      <c r="A304" s="8" t="s">
        <v>600</v>
      </c>
      <c r="B304" s="10" t="s">
        <v>502</v>
      </c>
      <c r="C304" s="10" t="s">
        <v>56</v>
      </c>
      <c r="D304" s="10" t="s">
        <v>16</v>
      </c>
      <c r="E304" s="10" t="s">
        <v>488</v>
      </c>
      <c r="F304" s="10"/>
      <c r="G304" s="11">
        <v>540</v>
      </c>
      <c r="H304" s="11">
        <v>20840</v>
      </c>
      <c r="I304" s="7">
        <f>I305</f>
        <v>0</v>
      </c>
      <c r="J304" s="7">
        <f t="shared" ref="J304:M304" si="125">J305+J306</f>
        <v>20840</v>
      </c>
      <c r="K304" s="7">
        <f t="shared" si="125"/>
        <v>2819.9</v>
      </c>
      <c r="L304" s="7">
        <f t="shared" si="125"/>
        <v>23659.9</v>
      </c>
      <c r="M304" s="7">
        <f t="shared" si="125"/>
        <v>210</v>
      </c>
      <c r="N304" s="7">
        <v>23869.9</v>
      </c>
      <c r="O304" s="7">
        <v>23869.9</v>
      </c>
      <c r="P304" s="349">
        <v>23869.9</v>
      </c>
      <c r="Q304" s="257">
        <v>100</v>
      </c>
    </row>
    <row r="305" spans="1:17" s="12" customFormat="1" ht="47.25">
      <c r="A305" s="8" t="s">
        <v>360</v>
      </c>
      <c r="B305" s="10" t="s">
        <v>502</v>
      </c>
      <c r="C305" s="10" t="s">
        <v>56</v>
      </c>
      <c r="D305" s="10" t="s">
        <v>16</v>
      </c>
      <c r="E305" s="10" t="s">
        <v>488</v>
      </c>
      <c r="F305" s="10" t="s">
        <v>359</v>
      </c>
      <c r="G305" s="11">
        <v>540</v>
      </c>
      <c r="H305" s="31">
        <v>20840</v>
      </c>
      <c r="I305" s="7"/>
      <c r="J305" s="7">
        <f>H305+I305</f>
        <v>20840</v>
      </c>
      <c r="K305" s="7">
        <f>2819.9-777.3</f>
        <v>2042.6</v>
      </c>
      <c r="L305" s="7">
        <f>J305+K305</f>
        <v>22882.6</v>
      </c>
      <c r="M305" s="7"/>
      <c r="N305" s="7">
        <v>22882.6</v>
      </c>
      <c r="O305" s="7">
        <v>22882.6</v>
      </c>
      <c r="P305" s="349">
        <v>22882.6</v>
      </c>
      <c r="Q305" s="257">
        <v>100</v>
      </c>
    </row>
    <row r="306" spans="1:17" s="12" customFormat="1">
      <c r="A306" s="8" t="s">
        <v>373</v>
      </c>
      <c r="B306" s="10" t="s">
        <v>502</v>
      </c>
      <c r="C306" s="10" t="s">
        <v>56</v>
      </c>
      <c r="D306" s="10" t="s">
        <v>16</v>
      </c>
      <c r="E306" s="10" t="s">
        <v>488</v>
      </c>
      <c r="F306" s="10" t="s">
        <v>372</v>
      </c>
      <c r="G306" s="11"/>
      <c r="H306" s="31"/>
      <c r="I306" s="7"/>
      <c r="J306" s="7"/>
      <c r="K306" s="7">
        <v>777.3</v>
      </c>
      <c r="L306" s="7">
        <f>J306+K306</f>
        <v>777.3</v>
      </c>
      <c r="M306" s="7">
        <v>210</v>
      </c>
      <c r="N306" s="7">
        <v>987.3</v>
      </c>
      <c r="O306" s="7">
        <v>987.3</v>
      </c>
      <c r="P306" s="349">
        <v>987.3</v>
      </c>
      <c r="Q306" s="257">
        <v>100</v>
      </c>
    </row>
    <row r="307" spans="1:17" s="12" customFormat="1" ht="31.5">
      <c r="A307" s="8" t="s">
        <v>601</v>
      </c>
      <c r="B307" s="10" t="s">
        <v>502</v>
      </c>
      <c r="C307" s="10" t="s">
        <v>56</v>
      </c>
      <c r="D307" s="10" t="s">
        <v>16</v>
      </c>
      <c r="E307" s="10" t="s">
        <v>489</v>
      </c>
      <c r="F307" s="10"/>
      <c r="G307" s="11">
        <v>-1806.8</v>
      </c>
      <c r="H307" s="11">
        <v>55046.400000000001</v>
      </c>
      <c r="I307" s="7">
        <f>I309+I311+I312+I310</f>
        <v>5900</v>
      </c>
      <c r="J307" s="7">
        <f>J309+J311+J312+J310</f>
        <v>60946.400000000001</v>
      </c>
      <c r="K307" s="7">
        <f>K309+K311+K312+K310</f>
        <v>25611.599999999999</v>
      </c>
      <c r="L307" s="7">
        <f>L309+L311+L312+L310+L308</f>
        <v>86558</v>
      </c>
      <c r="M307" s="7">
        <f>M309+M311+M312+M310+M308</f>
        <v>2577.8000000000002</v>
      </c>
      <c r="N307" s="7">
        <v>89135.8</v>
      </c>
      <c r="O307" s="7">
        <v>89135.8</v>
      </c>
      <c r="P307" s="349">
        <v>89135.8</v>
      </c>
      <c r="Q307" s="257">
        <v>100</v>
      </c>
    </row>
    <row r="308" spans="1:17" s="12" customFormat="1" ht="31.5">
      <c r="A308" s="8" t="s">
        <v>691</v>
      </c>
      <c r="B308" s="10" t="s">
        <v>502</v>
      </c>
      <c r="C308" s="10" t="s">
        <v>56</v>
      </c>
      <c r="D308" s="10" t="s">
        <v>16</v>
      </c>
      <c r="E308" s="10" t="s">
        <v>489</v>
      </c>
      <c r="F308" s="10" t="s">
        <v>690</v>
      </c>
      <c r="G308" s="11"/>
      <c r="H308" s="11"/>
      <c r="I308" s="7"/>
      <c r="J308" s="7"/>
      <c r="K308" s="7"/>
      <c r="L308" s="7"/>
      <c r="M308" s="7">
        <v>6000</v>
      </c>
      <c r="N308" s="7">
        <v>6000</v>
      </c>
      <c r="O308" s="7">
        <v>6000</v>
      </c>
      <c r="P308" s="349">
        <v>6000</v>
      </c>
      <c r="Q308" s="257">
        <v>100</v>
      </c>
    </row>
    <row r="309" spans="1:17" s="12" customFormat="1" ht="47.25">
      <c r="A309" s="8" t="s">
        <v>360</v>
      </c>
      <c r="B309" s="10" t="s">
        <v>502</v>
      </c>
      <c r="C309" s="10" t="s">
        <v>56</v>
      </c>
      <c r="D309" s="10" t="s">
        <v>16</v>
      </c>
      <c r="E309" s="10" t="s">
        <v>489</v>
      </c>
      <c r="F309" s="10" t="s">
        <v>359</v>
      </c>
      <c r="G309" s="11">
        <v>-946.4</v>
      </c>
      <c r="H309" s="31">
        <v>21926.799999999999</v>
      </c>
      <c r="I309" s="7"/>
      <c r="J309" s="7">
        <f>H309+I309</f>
        <v>21926.799999999999</v>
      </c>
      <c r="K309" s="7">
        <f>2895.9+251</f>
        <v>3146.9</v>
      </c>
      <c r="L309" s="7">
        <f>J309+K309</f>
        <v>25073.7</v>
      </c>
      <c r="M309" s="7">
        <v>51</v>
      </c>
      <c r="N309" s="7">
        <v>25124.7</v>
      </c>
      <c r="O309" s="7">
        <v>25124.7</v>
      </c>
      <c r="P309" s="349">
        <v>25124.7</v>
      </c>
      <c r="Q309" s="257">
        <v>100</v>
      </c>
    </row>
    <row r="310" spans="1:17" s="12" customFormat="1">
      <c r="A310" s="8" t="s">
        <v>373</v>
      </c>
      <c r="B310" s="10" t="s">
        <v>502</v>
      </c>
      <c r="C310" s="10" t="s">
        <v>56</v>
      </c>
      <c r="D310" s="10" t="s">
        <v>16</v>
      </c>
      <c r="E310" s="10" t="s">
        <v>489</v>
      </c>
      <c r="F310" s="10" t="s">
        <v>372</v>
      </c>
      <c r="G310" s="11"/>
      <c r="H310" s="31"/>
      <c r="I310" s="7">
        <v>1000</v>
      </c>
      <c r="J310" s="7">
        <f>H310+I310</f>
        <v>1000</v>
      </c>
      <c r="K310" s="7">
        <f>159+600+300+1000+250+422.5</f>
        <v>2731.5</v>
      </c>
      <c r="L310" s="7">
        <f>J310+K310</f>
        <v>3731.5</v>
      </c>
      <c r="M310" s="7">
        <f>53.8+157</f>
        <v>210.8</v>
      </c>
      <c r="N310" s="7">
        <v>3942.3</v>
      </c>
      <c r="O310" s="7">
        <v>3942.3</v>
      </c>
      <c r="P310" s="349">
        <v>3942.3</v>
      </c>
      <c r="Q310" s="257">
        <v>100</v>
      </c>
    </row>
    <row r="311" spans="1:17" s="12" customFormat="1" ht="47.25">
      <c r="A311" s="8" t="s">
        <v>366</v>
      </c>
      <c r="B311" s="10" t="s">
        <v>502</v>
      </c>
      <c r="C311" s="10" t="s">
        <v>56</v>
      </c>
      <c r="D311" s="10" t="s">
        <v>16</v>
      </c>
      <c r="E311" s="10" t="s">
        <v>489</v>
      </c>
      <c r="F311" s="10" t="s">
        <v>355</v>
      </c>
      <c r="G311" s="11">
        <v>-908.4</v>
      </c>
      <c r="H311" s="31">
        <v>33071.599999999999</v>
      </c>
      <c r="I311" s="7">
        <f>-100+3000</f>
        <v>2900</v>
      </c>
      <c r="J311" s="7">
        <f>H311+I311</f>
        <v>35971.599999999999</v>
      </c>
      <c r="K311" s="7">
        <f>1583.9+3000+251-251</f>
        <v>4583.8999999999996</v>
      </c>
      <c r="L311" s="7">
        <f>J311+K311</f>
        <v>40555.5</v>
      </c>
      <c r="M311" s="7"/>
      <c r="N311" s="7">
        <v>40555.5</v>
      </c>
      <c r="O311" s="7">
        <v>40555.5</v>
      </c>
      <c r="P311" s="349">
        <v>40555.5</v>
      </c>
      <c r="Q311" s="257">
        <v>100</v>
      </c>
    </row>
    <row r="312" spans="1:17" s="12" customFormat="1">
      <c r="A312" s="8" t="s">
        <v>367</v>
      </c>
      <c r="B312" s="10" t="s">
        <v>502</v>
      </c>
      <c r="C312" s="10" t="s">
        <v>56</v>
      </c>
      <c r="D312" s="10" t="s">
        <v>16</v>
      </c>
      <c r="E312" s="10" t="s">
        <v>489</v>
      </c>
      <c r="F312" s="10" t="s">
        <v>365</v>
      </c>
      <c r="G312" s="11">
        <v>48</v>
      </c>
      <c r="H312" s="31">
        <v>48</v>
      </c>
      <c r="I312" s="7">
        <v>2000</v>
      </c>
      <c r="J312" s="7">
        <f>H312+I312</f>
        <v>2048</v>
      </c>
      <c r="K312" s="7">
        <f>5135.3+154+360+6000+3500</f>
        <v>15149.3</v>
      </c>
      <c r="L312" s="7">
        <f>J312+K312</f>
        <v>17197.3</v>
      </c>
      <c r="M312" s="7">
        <f>100+216-6000+2000</f>
        <v>-3684</v>
      </c>
      <c r="N312" s="7">
        <v>13513.3</v>
      </c>
      <c r="O312" s="7">
        <v>13513.3</v>
      </c>
      <c r="P312" s="349">
        <v>13513.3</v>
      </c>
      <c r="Q312" s="257">
        <v>100</v>
      </c>
    </row>
    <row r="313" spans="1:17" s="12" customFormat="1" ht="47.25">
      <c r="A313" s="8" t="s">
        <v>602</v>
      </c>
      <c r="B313" s="10" t="s">
        <v>502</v>
      </c>
      <c r="C313" s="10" t="s">
        <v>56</v>
      </c>
      <c r="D313" s="10" t="s">
        <v>16</v>
      </c>
      <c r="E313" s="10" t="s">
        <v>490</v>
      </c>
      <c r="F313" s="10"/>
      <c r="G313" s="11">
        <v>171.4</v>
      </c>
      <c r="H313" s="11">
        <v>2021.4</v>
      </c>
      <c r="I313" s="7">
        <f t="shared" ref="I313:M313" si="126">I314</f>
        <v>0</v>
      </c>
      <c r="J313" s="7">
        <f t="shared" si="126"/>
        <v>2021.4</v>
      </c>
      <c r="K313" s="7">
        <f t="shared" si="126"/>
        <v>0</v>
      </c>
      <c r="L313" s="7">
        <f t="shared" si="126"/>
        <v>2021.4</v>
      </c>
      <c r="M313" s="7">
        <f t="shared" si="126"/>
        <v>142.1</v>
      </c>
      <c r="N313" s="7">
        <v>2163.5</v>
      </c>
      <c r="O313" s="7">
        <v>2163.5</v>
      </c>
      <c r="P313" s="349">
        <v>2163.5</v>
      </c>
      <c r="Q313" s="257">
        <v>100</v>
      </c>
    </row>
    <row r="314" spans="1:17" s="12" customFormat="1" ht="47.25">
      <c r="A314" s="8" t="s">
        <v>366</v>
      </c>
      <c r="B314" s="10" t="s">
        <v>502</v>
      </c>
      <c r="C314" s="10" t="s">
        <v>56</v>
      </c>
      <c r="D314" s="10" t="s">
        <v>16</v>
      </c>
      <c r="E314" s="10" t="s">
        <v>490</v>
      </c>
      <c r="F314" s="10" t="s">
        <v>355</v>
      </c>
      <c r="G314" s="11">
        <v>171.4</v>
      </c>
      <c r="H314" s="31">
        <v>2021.4</v>
      </c>
      <c r="I314" s="7"/>
      <c r="J314" s="7">
        <f>H314+I314</f>
        <v>2021.4</v>
      </c>
      <c r="K314" s="7"/>
      <c r="L314" s="7">
        <f>J314+K314</f>
        <v>2021.4</v>
      </c>
      <c r="M314" s="7">
        <v>142.1</v>
      </c>
      <c r="N314" s="7">
        <v>2163.5</v>
      </c>
      <c r="O314" s="7">
        <v>2163.5</v>
      </c>
      <c r="P314" s="349">
        <v>2163.5</v>
      </c>
      <c r="Q314" s="257">
        <v>100</v>
      </c>
    </row>
    <row r="315" spans="1:17" s="12" customFormat="1" ht="31.5">
      <c r="A315" s="8" t="s">
        <v>533</v>
      </c>
      <c r="B315" s="10" t="s">
        <v>502</v>
      </c>
      <c r="C315" s="10" t="s">
        <v>56</v>
      </c>
      <c r="D315" s="10" t="s">
        <v>16</v>
      </c>
      <c r="E315" s="10" t="s">
        <v>497</v>
      </c>
      <c r="F315" s="10"/>
      <c r="G315" s="11">
        <v>330</v>
      </c>
      <c r="H315" s="11">
        <v>450</v>
      </c>
      <c r="I315" s="7">
        <f t="shared" ref="I315:M315" si="127">I316+I317</f>
        <v>0</v>
      </c>
      <c r="J315" s="7">
        <f t="shared" si="127"/>
        <v>450</v>
      </c>
      <c r="K315" s="7">
        <f t="shared" si="127"/>
        <v>0</v>
      </c>
      <c r="L315" s="7">
        <f t="shared" si="127"/>
        <v>450</v>
      </c>
      <c r="M315" s="7">
        <f t="shared" si="127"/>
        <v>0</v>
      </c>
      <c r="N315" s="7">
        <v>450</v>
      </c>
      <c r="O315" s="7">
        <v>450</v>
      </c>
      <c r="P315" s="349">
        <v>450</v>
      </c>
      <c r="Q315" s="257">
        <v>100</v>
      </c>
    </row>
    <row r="316" spans="1:17" s="12" customFormat="1" ht="31.5">
      <c r="A316" s="8" t="s">
        <v>449</v>
      </c>
      <c r="B316" s="10" t="s">
        <v>502</v>
      </c>
      <c r="C316" s="10" t="s">
        <v>56</v>
      </c>
      <c r="D316" s="10" t="s">
        <v>16</v>
      </c>
      <c r="E316" s="10" t="s">
        <v>497</v>
      </c>
      <c r="F316" s="10" t="s">
        <v>381</v>
      </c>
      <c r="G316" s="11">
        <v>0</v>
      </c>
      <c r="H316" s="31">
        <v>120</v>
      </c>
      <c r="I316" s="7"/>
      <c r="J316" s="7">
        <f>H316+I316</f>
        <v>120</v>
      </c>
      <c r="K316" s="7"/>
      <c r="L316" s="7">
        <f>J316+K316</f>
        <v>120</v>
      </c>
      <c r="M316" s="7"/>
      <c r="N316" s="7">
        <v>120</v>
      </c>
      <c r="O316" s="7">
        <v>120</v>
      </c>
      <c r="P316" s="349">
        <v>120</v>
      </c>
      <c r="Q316" s="257">
        <v>100</v>
      </c>
    </row>
    <row r="317" spans="1:17" s="12" customFormat="1">
      <c r="A317" s="8" t="s">
        <v>603</v>
      </c>
      <c r="B317" s="10" t="s">
        <v>502</v>
      </c>
      <c r="C317" s="10" t="s">
        <v>56</v>
      </c>
      <c r="D317" s="10" t="s">
        <v>16</v>
      </c>
      <c r="E317" s="10" t="s">
        <v>497</v>
      </c>
      <c r="F317" s="10" t="s">
        <v>604</v>
      </c>
      <c r="G317" s="11">
        <v>330</v>
      </c>
      <c r="H317" s="31">
        <v>330</v>
      </c>
      <c r="I317" s="7"/>
      <c r="J317" s="7">
        <f>H317+I317</f>
        <v>330</v>
      </c>
      <c r="K317" s="7"/>
      <c r="L317" s="7">
        <f>J317+K317</f>
        <v>330</v>
      </c>
      <c r="M317" s="7"/>
      <c r="N317" s="7">
        <v>330</v>
      </c>
      <c r="O317" s="7">
        <v>330</v>
      </c>
      <c r="P317" s="349">
        <v>330</v>
      </c>
      <c r="Q317" s="257">
        <v>100</v>
      </c>
    </row>
    <row r="318" spans="1:17" s="30" customFormat="1">
      <c r="A318" s="26" t="s">
        <v>62</v>
      </c>
      <c r="B318" s="27" t="s">
        <v>502</v>
      </c>
      <c r="C318" s="27" t="s">
        <v>56</v>
      </c>
      <c r="D318" s="27" t="s">
        <v>11</v>
      </c>
      <c r="E318" s="27"/>
      <c r="F318" s="27"/>
      <c r="G318" s="28">
        <v>2438.1999999999998</v>
      </c>
      <c r="H318" s="28">
        <v>14765</v>
      </c>
      <c r="I318" s="29">
        <f>I319+I325+I336+I339</f>
        <v>200</v>
      </c>
      <c r="J318" s="29">
        <f t="shared" ref="J318:M318" si="128">J319+J325+J336+J339+J333</f>
        <v>14965</v>
      </c>
      <c r="K318" s="29">
        <f t="shared" si="128"/>
        <v>679</v>
      </c>
      <c r="L318" s="29">
        <f t="shared" si="128"/>
        <v>15644</v>
      </c>
      <c r="M318" s="29">
        <f t="shared" si="128"/>
        <v>419</v>
      </c>
      <c r="N318" s="29">
        <v>16063</v>
      </c>
      <c r="O318" s="29">
        <v>16063</v>
      </c>
      <c r="P318" s="348">
        <v>16025.4</v>
      </c>
      <c r="Q318" s="256">
        <v>99.77</v>
      </c>
    </row>
    <row r="319" spans="1:17" s="12" customFormat="1">
      <c r="A319" s="8" t="s">
        <v>37</v>
      </c>
      <c r="B319" s="10" t="s">
        <v>502</v>
      </c>
      <c r="C319" s="10" t="s">
        <v>56</v>
      </c>
      <c r="D319" s="10" t="s">
        <v>11</v>
      </c>
      <c r="E319" s="10" t="s">
        <v>38</v>
      </c>
      <c r="F319" s="10"/>
      <c r="G319" s="11">
        <v>875.8</v>
      </c>
      <c r="H319" s="31">
        <v>2116.5</v>
      </c>
      <c r="I319" s="7">
        <f t="shared" ref="I319:M319" si="129">I320</f>
        <v>0</v>
      </c>
      <c r="J319" s="7">
        <f t="shared" si="129"/>
        <v>2116.5</v>
      </c>
      <c r="K319" s="7">
        <f t="shared" si="129"/>
        <v>0</v>
      </c>
      <c r="L319" s="7">
        <f t="shared" si="129"/>
        <v>2116.5</v>
      </c>
      <c r="M319" s="7">
        <f t="shared" si="129"/>
        <v>0</v>
      </c>
      <c r="N319" s="7">
        <v>2116.5</v>
      </c>
      <c r="O319" s="7">
        <v>2116.5</v>
      </c>
      <c r="P319" s="349">
        <v>2078.9</v>
      </c>
      <c r="Q319" s="257">
        <v>98.22</v>
      </c>
    </row>
    <row r="320" spans="1:17" s="12" customFormat="1" ht="47.25">
      <c r="A320" s="8" t="s">
        <v>63</v>
      </c>
      <c r="B320" s="10" t="s">
        <v>502</v>
      </c>
      <c r="C320" s="10" t="s">
        <v>56</v>
      </c>
      <c r="D320" s="10" t="s">
        <v>11</v>
      </c>
      <c r="E320" s="10" t="s">
        <v>64</v>
      </c>
      <c r="F320" s="10"/>
      <c r="G320" s="11">
        <v>875.8</v>
      </c>
      <c r="H320" s="11">
        <v>2116.5</v>
      </c>
      <c r="I320" s="7">
        <f t="shared" ref="I320:M320" si="130">I321+I322+I323+I324</f>
        <v>0</v>
      </c>
      <c r="J320" s="7">
        <f t="shared" si="130"/>
        <v>2116.5</v>
      </c>
      <c r="K320" s="7">
        <f t="shared" si="130"/>
        <v>0</v>
      </c>
      <c r="L320" s="7">
        <f t="shared" si="130"/>
        <v>2116.5</v>
      </c>
      <c r="M320" s="7">
        <f t="shared" si="130"/>
        <v>0</v>
      </c>
      <c r="N320" s="7">
        <v>2116.5</v>
      </c>
      <c r="O320" s="7">
        <v>2116.5</v>
      </c>
      <c r="P320" s="349">
        <v>2078.9</v>
      </c>
      <c r="Q320" s="257">
        <v>98.22</v>
      </c>
    </row>
    <row r="321" spans="1:17" s="12" customFormat="1">
      <c r="A321" s="8" t="s">
        <v>337</v>
      </c>
      <c r="B321" s="10" t="s">
        <v>502</v>
      </c>
      <c r="C321" s="10" t="s">
        <v>56</v>
      </c>
      <c r="D321" s="10" t="s">
        <v>11</v>
      </c>
      <c r="E321" s="10" t="s">
        <v>64</v>
      </c>
      <c r="F321" s="10" t="s">
        <v>331</v>
      </c>
      <c r="G321" s="11">
        <v>341.7</v>
      </c>
      <c r="H321" s="31">
        <v>1582.4</v>
      </c>
      <c r="I321" s="7"/>
      <c r="J321" s="7">
        <f>H321+I321</f>
        <v>1582.4</v>
      </c>
      <c r="K321" s="7"/>
      <c r="L321" s="7">
        <f>J321+K321</f>
        <v>1582.4</v>
      </c>
      <c r="M321" s="7"/>
      <c r="N321" s="7">
        <v>1582.4</v>
      </c>
      <c r="O321" s="7">
        <v>1582.4</v>
      </c>
      <c r="P321" s="349">
        <v>1544.8</v>
      </c>
      <c r="Q321" s="257">
        <v>97.62</v>
      </c>
    </row>
    <row r="322" spans="1:17" s="12" customFormat="1">
      <c r="A322" s="8" t="s">
        <v>356</v>
      </c>
      <c r="B322" s="10" t="s">
        <v>502</v>
      </c>
      <c r="C322" s="10" t="s">
        <v>56</v>
      </c>
      <c r="D322" s="10" t="s">
        <v>11</v>
      </c>
      <c r="E322" s="10" t="s">
        <v>64</v>
      </c>
      <c r="F322" s="10" t="s">
        <v>332</v>
      </c>
      <c r="G322" s="11">
        <v>189</v>
      </c>
      <c r="H322" s="31">
        <v>189</v>
      </c>
      <c r="I322" s="7"/>
      <c r="J322" s="7">
        <f>H322+I322</f>
        <v>189</v>
      </c>
      <c r="K322" s="7"/>
      <c r="L322" s="7">
        <f>J322+K322</f>
        <v>189</v>
      </c>
      <c r="M322" s="7"/>
      <c r="N322" s="7">
        <v>189</v>
      </c>
      <c r="O322" s="7">
        <v>189</v>
      </c>
      <c r="P322" s="349">
        <v>189</v>
      </c>
      <c r="Q322" s="257">
        <v>100</v>
      </c>
    </row>
    <row r="323" spans="1:17" s="12" customFormat="1" ht="31.5">
      <c r="A323" s="8" t="s">
        <v>361</v>
      </c>
      <c r="B323" s="10" t="s">
        <v>502</v>
      </c>
      <c r="C323" s="10" t="s">
        <v>56</v>
      </c>
      <c r="D323" s="10" t="s">
        <v>11</v>
      </c>
      <c r="E323" s="10" t="s">
        <v>64</v>
      </c>
      <c r="F323" s="10" t="s">
        <v>333</v>
      </c>
      <c r="G323" s="11">
        <v>70.099999999999994</v>
      </c>
      <c r="H323" s="31">
        <v>70.099999999999994</v>
      </c>
      <c r="I323" s="7"/>
      <c r="J323" s="7">
        <f>H323+I323</f>
        <v>70.099999999999994</v>
      </c>
      <c r="K323" s="7"/>
      <c r="L323" s="7">
        <f>J323+K323</f>
        <v>70.099999999999994</v>
      </c>
      <c r="M323" s="7"/>
      <c r="N323" s="7">
        <v>70.099999999999994</v>
      </c>
      <c r="O323" s="7">
        <v>70.099999999999994</v>
      </c>
      <c r="P323" s="349">
        <v>70.099999999999994</v>
      </c>
      <c r="Q323" s="257">
        <v>100</v>
      </c>
    </row>
    <row r="324" spans="1:17" s="12" customFormat="1">
      <c r="A324" s="8" t="s">
        <v>362</v>
      </c>
      <c r="B324" s="10" t="s">
        <v>502</v>
      </c>
      <c r="C324" s="10" t="s">
        <v>56</v>
      </c>
      <c r="D324" s="10" t="s">
        <v>11</v>
      </c>
      <c r="E324" s="10" t="s">
        <v>64</v>
      </c>
      <c r="F324" s="10" t="s">
        <v>334</v>
      </c>
      <c r="G324" s="11">
        <v>275</v>
      </c>
      <c r="H324" s="31">
        <v>275</v>
      </c>
      <c r="I324" s="7"/>
      <c r="J324" s="7">
        <f>H324+I324</f>
        <v>275</v>
      </c>
      <c r="K324" s="7"/>
      <c r="L324" s="7">
        <f>J324+K324</f>
        <v>275</v>
      </c>
      <c r="M324" s="7"/>
      <c r="N324" s="7">
        <v>275</v>
      </c>
      <c r="O324" s="7">
        <v>275</v>
      </c>
      <c r="P324" s="349">
        <v>275</v>
      </c>
      <c r="Q324" s="257">
        <v>100</v>
      </c>
    </row>
    <row r="325" spans="1:17" s="12" customFormat="1" ht="47.25">
      <c r="A325" s="8" t="s">
        <v>65</v>
      </c>
      <c r="B325" s="10" t="s">
        <v>502</v>
      </c>
      <c r="C325" s="10" t="s">
        <v>56</v>
      </c>
      <c r="D325" s="10" t="s">
        <v>11</v>
      </c>
      <c r="E325" s="41" t="s">
        <v>41</v>
      </c>
      <c r="F325" s="10"/>
      <c r="G325" s="11">
        <v>1142.4000000000001</v>
      </c>
      <c r="H325" s="11">
        <v>12228.5</v>
      </c>
      <c r="I325" s="7">
        <f t="shared" ref="I325:M325" si="131">I326</f>
        <v>0</v>
      </c>
      <c r="J325" s="7">
        <f t="shared" si="131"/>
        <v>12228.5</v>
      </c>
      <c r="K325" s="7">
        <f t="shared" si="131"/>
        <v>353</v>
      </c>
      <c r="L325" s="7">
        <f t="shared" si="131"/>
        <v>12581.5</v>
      </c>
      <c r="M325" s="7">
        <f t="shared" si="131"/>
        <v>0</v>
      </c>
      <c r="N325" s="7">
        <v>12581.5</v>
      </c>
      <c r="O325" s="7">
        <v>12581.5</v>
      </c>
      <c r="P325" s="349">
        <v>12581.5</v>
      </c>
      <c r="Q325" s="257">
        <v>100</v>
      </c>
    </row>
    <row r="326" spans="1:17" s="12" customFormat="1">
      <c r="A326" s="8" t="s">
        <v>42</v>
      </c>
      <c r="B326" s="10" t="s">
        <v>502</v>
      </c>
      <c r="C326" s="10" t="s">
        <v>56</v>
      </c>
      <c r="D326" s="10" t="s">
        <v>11</v>
      </c>
      <c r="E326" s="41" t="s">
        <v>43</v>
      </c>
      <c r="F326" s="10"/>
      <c r="G326" s="11">
        <v>1142.4000000000001</v>
      </c>
      <c r="H326" s="11">
        <v>12228.5</v>
      </c>
      <c r="I326" s="7">
        <f>I327+I328+I329+I330+I331</f>
        <v>0</v>
      </c>
      <c r="J326" s="7">
        <f t="shared" ref="J326:M326" si="132">J327+J328+J329+J330+J331+J332</f>
        <v>12228.5</v>
      </c>
      <c r="K326" s="7">
        <f t="shared" si="132"/>
        <v>353</v>
      </c>
      <c r="L326" s="7">
        <f t="shared" si="132"/>
        <v>12581.5</v>
      </c>
      <c r="M326" s="7">
        <f t="shared" si="132"/>
        <v>0</v>
      </c>
      <c r="N326" s="7">
        <v>12581.5</v>
      </c>
      <c r="O326" s="7">
        <v>12581.5</v>
      </c>
      <c r="P326" s="349">
        <v>12581.5</v>
      </c>
      <c r="Q326" s="257">
        <v>100</v>
      </c>
    </row>
    <row r="327" spans="1:17" s="12" customFormat="1">
      <c r="A327" s="8" t="s">
        <v>337</v>
      </c>
      <c r="B327" s="10" t="s">
        <v>502</v>
      </c>
      <c r="C327" s="10" t="s">
        <v>56</v>
      </c>
      <c r="D327" s="10" t="s">
        <v>11</v>
      </c>
      <c r="E327" s="41" t="s">
        <v>43</v>
      </c>
      <c r="F327" s="10" t="s">
        <v>331</v>
      </c>
      <c r="G327" s="11">
        <v>1252.4000000000001</v>
      </c>
      <c r="H327" s="31">
        <v>10200.4</v>
      </c>
      <c r="I327" s="7"/>
      <c r="J327" s="7">
        <f>H327+I327</f>
        <v>10200.4</v>
      </c>
      <c r="K327" s="7">
        <v>413</v>
      </c>
      <c r="L327" s="7">
        <f t="shared" ref="L327:L332" si="133">J327+K327</f>
        <v>10613.4</v>
      </c>
      <c r="M327" s="7"/>
      <c r="N327" s="7">
        <v>10613.4</v>
      </c>
      <c r="O327" s="7">
        <v>10613.4</v>
      </c>
      <c r="P327" s="349">
        <v>10613.4</v>
      </c>
      <c r="Q327" s="257">
        <v>100</v>
      </c>
    </row>
    <row r="328" spans="1:17" s="12" customFormat="1">
      <c r="A328" s="8" t="s">
        <v>356</v>
      </c>
      <c r="B328" s="10" t="s">
        <v>502</v>
      </c>
      <c r="C328" s="10" t="s">
        <v>56</v>
      </c>
      <c r="D328" s="10" t="s">
        <v>11</v>
      </c>
      <c r="E328" s="41" t="s">
        <v>43</v>
      </c>
      <c r="F328" s="10" t="s">
        <v>332</v>
      </c>
      <c r="G328" s="11">
        <v>-45</v>
      </c>
      <c r="H328" s="31">
        <v>245</v>
      </c>
      <c r="I328" s="7"/>
      <c r="J328" s="7">
        <f>H328+I328</f>
        <v>245</v>
      </c>
      <c r="K328" s="7">
        <f>10+80</f>
        <v>90</v>
      </c>
      <c r="L328" s="7">
        <f t="shared" si="133"/>
        <v>335</v>
      </c>
      <c r="M328" s="7"/>
      <c r="N328" s="7">
        <v>335</v>
      </c>
      <c r="O328" s="7">
        <v>335</v>
      </c>
      <c r="P328" s="349">
        <v>335</v>
      </c>
      <c r="Q328" s="257">
        <v>100</v>
      </c>
    </row>
    <row r="329" spans="1:17" s="12" customFormat="1" ht="31.5">
      <c r="A329" s="8" t="s">
        <v>361</v>
      </c>
      <c r="B329" s="10" t="s">
        <v>502</v>
      </c>
      <c r="C329" s="10" t="s">
        <v>56</v>
      </c>
      <c r="D329" s="10" t="s">
        <v>11</v>
      </c>
      <c r="E329" s="41" t="s">
        <v>43</v>
      </c>
      <c r="F329" s="10" t="s">
        <v>333</v>
      </c>
      <c r="G329" s="11">
        <v>248.1</v>
      </c>
      <c r="H329" s="31">
        <v>678.1</v>
      </c>
      <c r="I329" s="7"/>
      <c r="J329" s="7">
        <f>H329+I329</f>
        <v>678.1</v>
      </c>
      <c r="K329" s="7">
        <f>-80-60</f>
        <v>-140</v>
      </c>
      <c r="L329" s="7">
        <f t="shared" si="133"/>
        <v>538.1</v>
      </c>
      <c r="M329" s="7"/>
      <c r="N329" s="7">
        <v>538.1</v>
      </c>
      <c r="O329" s="7">
        <v>538.1</v>
      </c>
      <c r="P329" s="349">
        <v>538.1</v>
      </c>
      <c r="Q329" s="257">
        <v>100</v>
      </c>
    </row>
    <row r="330" spans="1:17" s="12" customFormat="1">
      <c r="A330" s="8" t="s">
        <v>362</v>
      </c>
      <c r="B330" s="10" t="s">
        <v>502</v>
      </c>
      <c r="C330" s="10" t="s">
        <v>56</v>
      </c>
      <c r="D330" s="10" t="s">
        <v>11</v>
      </c>
      <c r="E330" s="41" t="s">
        <v>43</v>
      </c>
      <c r="F330" s="10" t="s">
        <v>334</v>
      </c>
      <c r="G330" s="11">
        <v>-313.10000000000002</v>
      </c>
      <c r="H330" s="31">
        <v>1076.9000000000001</v>
      </c>
      <c r="I330" s="7"/>
      <c r="J330" s="7">
        <f>H330+I330</f>
        <v>1076.9000000000001</v>
      </c>
      <c r="K330" s="7">
        <f>-10+10</f>
        <v>0</v>
      </c>
      <c r="L330" s="7">
        <f t="shared" si="133"/>
        <v>1076.9000000000001</v>
      </c>
      <c r="M330" s="7"/>
      <c r="N330" s="7">
        <v>1076.9000000000001</v>
      </c>
      <c r="O330" s="7">
        <v>1076.9000000000001</v>
      </c>
      <c r="P330" s="349">
        <v>1076.9000000000001</v>
      </c>
      <c r="Q330" s="257">
        <v>100</v>
      </c>
    </row>
    <row r="331" spans="1:17" s="12" customFormat="1">
      <c r="A331" s="8" t="s">
        <v>384</v>
      </c>
      <c r="B331" s="10" t="s">
        <v>502</v>
      </c>
      <c r="C331" s="10" t="s">
        <v>56</v>
      </c>
      <c r="D331" s="10" t="s">
        <v>11</v>
      </c>
      <c r="E331" s="41" t="s">
        <v>43</v>
      </c>
      <c r="F331" s="10" t="s">
        <v>335</v>
      </c>
      <c r="G331" s="11">
        <v>0</v>
      </c>
      <c r="H331" s="31">
        <v>28.1</v>
      </c>
      <c r="I331" s="7"/>
      <c r="J331" s="7">
        <f>H331+I331</f>
        <v>28.1</v>
      </c>
      <c r="K331" s="7">
        <v>-11.3</v>
      </c>
      <c r="L331" s="7">
        <f t="shared" si="133"/>
        <v>16.8</v>
      </c>
      <c r="M331" s="7"/>
      <c r="N331" s="7">
        <v>16.8</v>
      </c>
      <c r="O331" s="7">
        <v>16.8</v>
      </c>
      <c r="P331" s="349">
        <v>16.8</v>
      </c>
      <c r="Q331" s="257">
        <v>100</v>
      </c>
    </row>
    <row r="332" spans="1:17" s="12" customFormat="1">
      <c r="A332" s="8" t="s">
        <v>380</v>
      </c>
      <c r="B332" s="10" t="s">
        <v>502</v>
      </c>
      <c r="C332" s="10" t="s">
        <v>56</v>
      </c>
      <c r="D332" s="10" t="s">
        <v>11</v>
      </c>
      <c r="E332" s="41" t="s">
        <v>43</v>
      </c>
      <c r="F332" s="10" t="s">
        <v>336</v>
      </c>
      <c r="G332" s="11"/>
      <c r="H332" s="31"/>
      <c r="I332" s="7"/>
      <c r="J332" s="7"/>
      <c r="K332" s="7">
        <v>1.3</v>
      </c>
      <c r="L332" s="7">
        <f t="shared" si="133"/>
        <v>1.3</v>
      </c>
      <c r="M332" s="7"/>
      <c r="N332" s="7">
        <v>1.3</v>
      </c>
      <c r="O332" s="7">
        <v>1.3</v>
      </c>
      <c r="P332" s="349">
        <v>1.3</v>
      </c>
      <c r="Q332" s="257">
        <v>100</v>
      </c>
    </row>
    <row r="333" spans="1:17" s="12" customFormat="1">
      <c r="A333" s="8" t="s">
        <v>311</v>
      </c>
      <c r="B333" s="10" t="s">
        <v>502</v>
      </c>
      <c r="C333" s="10" t="s">
        <v>56</v>
      </c>
      <c r="D333" s="10" t="s">
        <v>11</v>
      </c>
      <c r="E333" s="41" t="s">
        <v>312</v>
      </c>
      <c r="F333" s="10"/>
      <c r="G333" s="11"/>
      <c r="H333" s="31"/>
      <c r="I333" s="7"/>
      <c r="J333" s="7">
        <f t="shared" ref="J333:M334" si="134">J334</f>
        <v>0</v>
      </c>
      <c r="K333" s="7">
        <f t="shared" si="134"/>
        <v>26</v>
      </c>
      <c r="L333" s="7">
        <f t="shared" si="134"/>
        <v>26</v>
      </c>
      <c r="M333" s="7">
        <f t="shared" si="134"/>
        <v>19</v>
      </c>
      <c r="N333" s="7">
        <v>45</v>
      </c>
      <c r="O333" s="7">
        <v>45</v>
      </c>
      <c r="P333" s="349">
        <v>45</v>
      </c>
      <c r="Q333" s="257">
        <v>100</v>
      </c>
    </row>
    <row r="334" spans="1:17" s="12" customFormat="1" ht="47.25">
      <c r="A334" s="33" t="s">
        <v>764</v>
      </c>
      <c r="B334" s="10" t="s">
        <v>502</v>
      </c>
      <c r="C334" s="10" t="s">
        <v>56</v>
      </c>
      <c r="D334" s="10" t="s">
        <v>11</v>
      </c>
      <c r="E334" s="41" t="s">
        <v>763</v>
      </c>
      <c r="F334" s="10"/>
      <c r="G334" s="11"/>
      <c r="H334" s="31"/>
      <c r="I334" s="7"/>
      <c r="J334" s="7">
        <f t="shared" si="134"/>
        <v>0</v>
      </c>
      <c r="K334" s="7">
        <f t="shared" si="134"/>
        <v>26</v>
      </c>
      <c r="L334" s="7">
        <f t="shared" si="134"/>
        <v>26</v>
      </c>
      <c r="M334" s="7">
        <f t="shared" si="134"/>
        <v>19</v>
      </c>
      <c r="N334" s="7">
        <v>45</v>
      </c>
      <c r="O334" s="7">
        <v>45</v>
      </c>
      <c r="P334" s="349">
        <v>45</v>
      </c>
      <c r="Q334" s="257">
        <v>100</v>
      </c>
    </row>
    <row r="335" spans="1:17" s="12" customFormat="1">
      <c r="A335" s="9" t="s">
        <v>337</v>
      </c>
      <c r="B335" s="10" t="s">
        <v>502</v>
      </c>
      <c r="C335" s="10" t="s">
        <v>56</v>
      </c>
      <c r="D335" s="10" t="s">
        <v>11</v>
      </c>
      <c r="E335" s="41" t="s">
        <v>763</v>
      </c>
      <c r="F335" s="10" t="s">
        <v>331</v>
      </c>
      <c r="G335" s="11"/>
      <c r="H335" s="31"/>
      <c r="I335" s="7"/>
      <c r="J335" s="7"/>
      <c r="K335" s="7">
        <f>7+9.5+9.5</f>
        <v>26</v>
      </c>
      <c r="L335" s="7">
        <f>J335+K335</f>
        <v>26</v>
      </c>
      <c r="M335" s="7">
        <f>9.5+14.3-4.7-0.1</f>
        <v>19</v>
      </c>
      <c r="N335" s="7">
        <v>45</v>
      </c>
      <c r="O335" s="7">
        <v>45</v>
      </c>
      <c r="P335" s="349">
        <v>45</v>
      </c>
      <c r="Q335" s="257">
        <v>100</v>
      </c>
    </row>
    <row r="336" spans="1:17" s="12" customFormat="1">
      <c r="A336" s="8" t="s">
        <v>17</v>
      </c>
      <c r="B336" s="10" t="s">
        <v>502</v>
      </c>
      <c r="C336" s="10" t="s">
        <v>56</v>
      </c>
      <c r="D336" s="10" t="s">
        <v>11</v>
      </c>
      <c r="E336" s="41" t="s">
        <v>18</v>
      </c>
      <c r="F336" s="10"/>
      <c r="G336" s="11">
        <v>120</v>
      </c>
      <c r="H336" s="31">
        <v>120</v>
      </c>
      <c r="I336" s="7">
        <f t="shared" ref="I336:M337" si="135">I337</f>
        <v>0</v>
      </c>
      <c r="J336" s="7">
        <f t="shared" si="135"/>
        <v>120</v>
      </c>
      <c r="K336" s="7">
        <f t="shared" si="135"/>
        <v>0</v>
      </c>
      <c r="L336" s="7">
        <f t="shared" si="135"/>
        <v>120</v>
      </c>
      <c r="M336" s="7">
        <f t="shared" si="135"/>
        <v>0</v>
      </c>
      <c r="N336" s="7">
        <v>120</v>
      </c>
      <c r="O336" s="7">
        <v>120</v>
      </c>
      <c r="P336" s="349">
        <v>120</v>
      </c>
      <c r="Q336" s="257">
        <v>100</v>
      </c>
    </row>
    <row r="337" spans="1:17" s="12" customFormat="1" ht="78.75">
      <c r="A337" s="8" t="s">
        <v>528</v>
      </c>
      <c r="B337" s="10" t="s">
        <v>502</v>
      </c>
      <c r="C337" s="10" t="s">
        <v>56</v>
      </c>
      <c r="D337" s="10" t="s">
        <v>11</v>
      </c>
      <c r="E337" s="41" t="s">
        <v>328</v>
      </c>
      <c r="F337" s="10"/>
      <c r="G337" s="11">
        <v>120</v>
      </c>
      <c r="H337" s="31">
        <v>120</v>
      </c>
      <c r="I337" s="7">
        <f t="shared" si="135"/>
        <v>0</v>
      </c>
      <c r="J337" s="7">
        <f t="shared" si="135"/>
        <v>120</v>
      </c>
      <c r="K337" s="7">
        <f t="shared" si="135"/>
        <v>0</v>
      </c>
      <c r="L337" s="7">
        <f t="shared" si="135"/>
        <v>120</v>
      </c>
      <c r="M337" s="7">
        <f t="shared" si="135"/>
        <v>0</v>
      </c>
      <c r="N337" s="7">
        <v>120</v>
      </c>
      <c r="O337" s="7">
        <v>120</v>
      </c>
      <c r="P337" s="349">
        <v>120</v>
      </c>
      <c r="Q337" s="257">
        <v>100</v>
      </c>
    </row>
    <row r="338" spans="1:17" s="12" customFormat="1">
      <c r="A338" s="8" t="s">
        <v>373</v>
      </c>
      <c r="B338" s="10" t="s">
        <v>502</v>
      </c>
      <c r="C338" s="10" t="s">
        <v>56</v>
      </c>
      <c r="D338" s="10" t="s">
        <v>11</v>
      </c>
      <c r="E338" s="41" t="s">
        <v>328</v>
      </c>
      <c r="F338" s="10" t="s">
        <v>372</v>
      </c>
      <c r="G338" s="11">
        <v>120</v>
      </c>
      <c r="H338" s="31">
        <v>120</v>
      </c>
      <c r="I338" s="7"/>
      <c r="J338" s="7">
        <f>H338+I338</f>
        <v>120</v>
      </c>
      <c r="K338" s="7"/>
      <c r="L338" s="7">
        <f>J338+K338</f>
        <v>120</v>
      </c>
      <c r="M338" s="7"/>
      <c r="N338" s="7">
        <v>120</v>
      </c>
      <c r="O338" s="7">
        <v>120</v>
      </c>
      <c r="P338" s="349">
        <v>120</v>
      </c>
      <c r="Q338" s="257">
        <v>100</v>
      </c>
    </row>
    <row r="339" spans="1:17" s="12" customFormat="1">
      <c r="A339" s="8" t="s">
        <v>363</v>
      </c>
      <c r="B339" s="10" t="s">
        <v>502</v>
      </c>
      <c r="C339" s="10" t="s">
        <v>56</v>
      </c>
      <c r="D339" s="10" t="s">
        <v>11</v>
      </c>
      <c r="E339" s="10" t="s">
        <v>364</v>
      </c>
      <c r="F339" s="10"/>
      <c r="G339" s="11">
        <v>300</v>
      </c>
      <c r="H339" s="11">
        <v>300</v>
      </c>
      <c r="I339" s="7">
        <f t="shared" ref="I339:M339" si="136">I340</f>
        <v>200</v>
      </c>
      <c r="J339" s="7">
        <f t="shared" si="136"/>
        <v>500</v>
      </c>
      <c r="K339" s="7">
        <f t="shared" si="136"/>
        <v>300</v>
      </c>
      <c r="L339" s="7">
        <f t="shared" si="136"/>
        <v>800</v>
      </c>
      <c r="M339" s="7">
        <f t="shared" si="136"/>
        <v>400</v>
      </c>
      <c r="N339" s="7">
        <v>1200</v>
      </c>
      <c r="O339" s="7">
        <v>1200</v>
      </c>
      <c r="P339" s="349">
        <v>1200</v>
      </c>
      <c r="Q339" s="257">
        <v>100</v>
      </c>
    </row>
    <row r="340" spans="1:17" s="12" customFormat="1" ht="63">
      <c r="A340" s="8" t="s">
        <v>673</v>
      </c>
      <c r="B340" s="10" t="s">
        <v>502</v>
      </c>
      <c r="C340" s="10" t="s">
        <v>56</v>
      </c>
      <c r="D340" s="10" t="s">
        <v>11</v>
      </c>
      <c r="E340" s="10" t="s">
        <v>605</v>
      </c>
      <c r="F340" s="10"/>
      <c r="G340" s="11">
        <v>300</v>
      </c>
      <c r="H340" s="11">
        <v>300</v>
      </c>
      <c r="I340" s="7">
        <f>I341+I343</f>
        <v>200</v>
      </c>
      <c r="J340" s="7">
        <f>J341+J343</f>
        <v>500</v>
      </c>
      <c r="K340" s="7">
        <f>K341+K343</f>
        <v>300</v>
      </c>
      <c r="L340" s="7">
        <f>L341+L343+L342</f>
        <v>800</v>
      </c>
      <c r="M340" s="7">
        <f>M341+M343+M342</f>
        <v>400</v>
      </c>
      <c r="N340" s="7">
        <v>1200</v>
      </c>
      <c r="O340" s="7">
        <v>1200</v>
      </c>
      <c r="P340" s="349">
        <v>1200</v>
      </c>
      <c r="Q340" s="257">
        <v>100</v>
      </c>
    </row>
    <row r="341" spans="1:17" s="12" customFormat="1">
      <c r="A341" s="8" t="s">
        <v>362</v>
      </c>
      <c r="B341" s="10" t="s">
        <v>502</v>
      </c>
      <c r="C341" s="10" t="s">
        <v>56</v>
      </c>
      <c r="D341" s="10" t="s">
        <v>11</v>
      </c>
      <c r="E341" s="10" t="s">
        <v>605</v>
      </c>
      <c r="F341" s="10" t="s">
        <v>334</v>
      </c>
      <c r="G341" s="11">
        <v>300</v>
      </c>
      <c r="H341" s="31">
        <v>300</v>
      </c>
      <c r="I341" s="7"/>
      <c r="J341" s="7">
        <f>H341+I341</f>
        <v>300</v>
      </c>
      <c r="K341" s="7">
        <f>100+100</f>
        <v>200</v>
      </c>
      <c r="L341" s="7">
        <f>J341+K341</f>
        <v>500</v>
      </c>
      <c r="M341" s="7"/>
      <c r="N341" s="7">
        <v>500</v>
      </c>
      <c r="O341" s="7">
        <v>500</v>
      </c>
      <c r="P341" s="349">
        <v>500</v>
      </c>
      <c r="Q341" s="257">
        <v>100</v>
      </c>
    </row>
    <row r="342" spans="1:17" s="12" customFormat="1">
      <c r="A342" s="8" t="s">
        <v>373</v>
      </c>
      <c r="B342" s="10" t="s">
        <v>502</v>
      </c>
      <c r="C342" s="10" t="s">
        <v>56</v>
      </c>
      <c r="D342" s="10" t="s">
        <v>11</v>
      </c>
      <c r="E342" s="10" t="s">
        <v>605</v>
      </c>
      <c r="F342" s="10" t="s">
        <v>372</v>
      </c>
      <c r="G342" s="11"/>
      <c r="H342" s="31"/>
      <c r="I342" s="7"/>
      <c r="J342" s="7"/>
      <c r="K342" s="7"/>
      <c r="L342" s="7"/>
      <c r="M342" s="7">
        <v>400</v>
      </c>
      <c r="N342" s="7">
        <v>400</v>
      </c>
      <c r="O342" s="7">
        <v>400</v>
      </c>
      <c r="P342" s="349">
        <v>400</v>
      </c>
      <c r="Q342" s="257">
        <v>100</v>
      </c>
    </row>
    <row r="343" spans="1:17" s="12" customFormat="1" ht="31.5">
      <c r="A343" s="8" t="s">
        <v>330</v>
      </c>
      <c r="B343" s="10" t="s">
        <v>502</v>
      </c>
      <c r="C343" s="10" t="s">
        <v>56</v>
      </c>
      <c r="D343" s="10" t="s">
        <v>11</v>
      </c>
      <c r="E343" s="10" t="s">
        <v>605</v>
      </c>
      <c r="F343" s="10" t="s">
        <v>329</v>
      </c>
      <c r="G343" s="11"/>
      <c r="H343" s="31"/>
      <c r="I343" s="7">
        <v>200</v>
      </c>
      <c r="J343" s="7">
        <f>H343+I343</f>
        <v>200</v>
      </c>
      <c r="K343" s="7">
        <v>100</v>
      </c>
      <c r="L343" s="7">
        <f>J343+K343</f>
        <v>300</v>
      </c>
      <c r="M343" s="7"/>
      <c r="N343" s="7">
        <v>300</v>
      </c>
      <c r="O343" s="7">
        <v>300</v>
      </c>
      <c r="P343" s="349">
        <v>300</v>
      </c>
      <c r="Q343" s="257">
        <v>100</v>
      </c>
    </row>
    <row r="344" spans="1:17" s="30" customFormat="1">
      <c r="A344" s="26" t="s">
        <v>68</v>
      </c>
      <c r="B344" s="27" t="s">
        <v>502</v>
      </c>
      <c r="C344" s="27" t="s">
        <v>69</v>
      </c>
      <c r="D344" s="27"/>
      <c r="E344" s="48"/>
      <c r="F344" s="27"/>
      <c r="G344" s="28">
        <v>-1944.6</v>
      </c>
      <c r="H344" s="28">
        <v>3355.4</v>
      </c>
      <c r="I344" s="29">
        <f t="shared" ref="I344:M347" si="137">I345</f>
        <v>-532.20000000000005</v>
      </c>
      <c r="J344" s="29">
        <f t="shared" si="137"/>
        <v>2823.2</v>
      </c>
      <c r="K344" s="29">
        <f t="shared" si="137"/>
        <v>37.299999999999997</v>
      </c>
      <c r="L344" s="29">
        <f t="shared" si="137"/>
        <v>2860.5</v>
      </c>
      <c r="M344" s="29">
        <f t="shared" si="137"/>
        <v>94</v>
      </c>
      <c r="N344" s="29">
        <v>2954.5</v>
      </c>
      <c r="O344" s="29">
        <v>2954.5</v>
      </c>
      <c r="P344" s="348">
        <v>2954.5</v>
      </c>
      <c r="Q344" s="256">
        <v>100</v>
      </c>
    </row>
    <row r="345" spans="1:17" s="30" customFormat="1">
      <c r="A345" s="26" t="s">
        <v>70</v>
      </c>
      <c r="B345" s="27" t="s">
        <v>502</v>
      </c>
      <c r="C345" s="27" t="s">
        <v>69</v>
      </c>
      <c r="D345" s="27" t="s">
        <v>26</v>
      </c>
      <c r="E345" s="48"/>
      <c r="F345" s="27"/>
      <c r="G345" s="28">
        <v>-1944.6</v>
      </c>
      <c r="H345" s="28">
        <v>3355.4</v>
      </c>
      <c r="I345" s="29">
        <f t="shared" si="137"/>
        <v>-532.20000000000005</v>
      </c>
      <c r="J345" s="29">
        <f t="shared" si="137"/>
        <v>2823.2</v>
      </c>
      <c r="K345" s="29">
        <f t="shared" si="137"/>
        <v>37.299999999999997</v>
      </c>
      <c r="L345" s="29">
        <f t="shared" si="137"/>
        <v>2860.5</v>
      </c>
      <c r="M345" s="29">
        <f t="shared" si="137"/>
        <v>94</v>
      </c>
      <c r="N345" s="29">
        <v>2954.5</v>
      </c>
      <c r="O345" s="29">
        <v>2954.5</v>
      </c>
      <c r="P345" s="348">
        <v>2954.5</v>
      </c>
      <c r="Q345" s="256">
        <v>100</v>
      </c>
    </row>
    <row r="346" spans="1:17" s="12" customFormat="1">
      <c r="A346" s="8" t="s">
        <v>363</v>
      </c>
      <c r="B346" s="10" t="s">
        <v>502</v>
      </c>
      <c r="C346" s="10" t="s">
        <v>69</v>
      </c>
      <c r="D346" s="10" t="s">
        <v>26</v>
      </c>
      <c r="E346" s="34" t="s">
        <v>364</v>
      </c>
      <c r="F346" s="10"/>
      <c r="G346" s="11">
        <v>-1944.6</v>
      </c>
      <c r="H346" s="11">
        <v>3355.4</v>
      </c>
      <c r="I346" s="7">
        <f t="shared" si="137"/>
        <v>-532.20000000000005</v>
      </c>
      <c r="J346" s="7">
        <f t="shared" si="137"/>
        <v>2823.2</v>
      </c>
      <c r="K346" s="7">
        <f t="shared" si="137"/>
        <v>37.299999999999997</v>
      </c>
      <c r="L346" s="7">
        <f t="shared" si="137"/>
        <v>2860.5</v>
      </c>
      <c r="M346" s="7">
        <f t="shared" si="137"/>
        <v>94</v>
      </c>
      <c r="N346" s="7">
        <v>2954.5</v>
      </c>
      <c r="O346" s="7">
        <v>2954.5</v>
      </c>
      <c r="P346" s="349">
        <v>2954.5</v>
      </c>
      <c r="Q346" s="257">
        <v>100</v>
      </c>
    </row>
    <row r="347" spans="1:17" s="12" customFormat="1" ht="31.5">
      <c r="A347" s="8" t="s">
        <v>599</v>
      </c>
      <c r="B347" s="10" t="s">
        <v>502</v>
      </c>
      <c r="C347" s="10" t="s">
        <v>69</v>
      </c>
      <c r="D347" s="10" t="s">
        <v>26</v>
      </c>
      <c r="E347" s="34" t="s">
        <v>487</v>
      </c>
      <c r="F347" s="49"/>
      <c r="G347" s="11">
        <v>-1944.6</v>
      </c>
      <c r="H347" s="11">
        <v>3355.4</v>
      </c>
      <c r="I347" s="7">
        <f t="shared" si="137"/>
        <v>-532.20000000000005</v>
      </c>
      <c r="J347" s="7">
        <f t="shared" si="137"/>
        <v>2823.2</v>
      </c>
      <c r="K347" s="7">
        <f t="shared" si="137"/>
        <v>37.299999999999997</v>
      </c>
      <c r="L347" s="7">
        <f t="shared" si="137"/>
        <v>2860.5</v>
      </c>
      <c r="M347" s="7">
        <f t="shared" si="137"/>
        <v>94</v>
      </c>
      <c r="N347" s="7">
        <v>2954.5</v>
      </c>
      <c r="O347" s="7">
        <v>2954.5</v>
      </c>
      <c r="P347" s="349">
        <v>2954.5</v>
      </c>
      <c r="Q347" s="257">
        <v>100</v>
      </c>
    </row>
    <row r="348" spans="1:17" s="12" customFormat="1" ht="47.25">
      <c r="A348" s="8" t="s">
        <v>360</v>
      </c>
      <c r="B348" s="10" t="s">
        <v>502</v>
      </c>
      <c r="C348" s="10" t="s">
        <v>69</v>
      </c>
      <c r="D348" s="10" t="s">
        <v>26</v>
      </c>
      <c r="E348" s="34" t="s">
        <v>487</v>
      </c>
      <c r="F348" s="10" t="s">
        <v>359</v>
      </c>
      <c r="G348" s="11">
        <v>-1944.6</v>
      </c>
      <c r="H348" s="31">
        <v>3355.4</v>
      </c>
      <c r="I348" s="7">
        <v>-532.20000000000005</v>
      </c>
      <c r="J348" s="7">
        <f>H348+I348</f>
        <v>2823.2</v>
      </c>
      <c r="K348" s="7">
        <v>37.299999999999997</v>
      </c>
      <c r="L348" s="7">
        <f>J348+K348</f>
        <v>2860.5</v>
      </c>
      <c r="M348" s="7">
        <v>94</v>
      </c>
      <c r="N348" s="7">
        <v>2954.5</v>
      </c>
      <c r="O348" s="7">
        <v>2954.5</v>
      </c>
      <c r="P348" s="349">
        <v>2954.5</v>
      </c>
      <c r="Q348" s="257">
        <v>100</v>
      </c>
    </row>
    <row r="349" spans="1:17" s="30" customFormat="1">
      <c r="A349" s="26" t="s">
        <v>49</v>
      </c>
      <c r="B349" s="27" t="s">
        <v>502</v>
      </c>
      <c r="C349" s="27"/>
      <c r="D349" s="27"/>
      <c r="E349" s="48"/>
      <c r="F349" s="27"/>
      <c r="G349" s="28">
        <v>0.1</v>
      </c>
      <c r="H349" s="28">
        <v>506</v>
      </c>
      <c r="I349" s="29">
        <f t="shared" ref="I349:M353" si="138">I350</f>
        <v>0</v>
      </c>
      <c r="J349" s="29" t="e">
        <f t="shared" si="138"/>
        <v>#REF!</v>
      </c>
      <c r="K349" s="29" t="e">
        <f t="shared" si="138"/>
        <v>#REF!</v>
      </c>
      <c r="L349" s="29" t="e">
        <f t="shared" si="138"/>
        <v>#REF!</v>
      </c>
      <c r="M349" s="29" t="e">
        <f t="shared" si="138"/>
        <v>#REF!</v>
      </c>
      <c r="N349" s="29">
        <v>23153.200000000001</v>
      </c>
      <c r="O349" s="29">
        <v>23153.200000000001</v>
      </c>
      <c r="P349" s="348">
        <v>23153.200000000001</v>
      </c>
      <c r="Q349" s="256">
        <v>100</v>
      </c>
    </row>
    <row r="350" spans="1:17" s="30" customFormat="1">
      <c r="A350" s="26" t="s">
        <v>606</v>
      </c>
      <c r="B350" s="27" t="s">
        <v>502</v>
      </c>
      <c r="C350" s="27" t="s">
        <v>56</v>
      </c>
      <c r="D350" s="27"/>
      <c r="E350" s="48"/>
      <c r="F350" s="27"/>
      <c r="G350" s="28">
        <v>0.1</v>
      </c>
      <c r="H350" s="28">
        <v>506</v>
      </c>
      <c r="I350" s="29">
        <f t="shared" si="138"/>
        <v>0</v>
      </c>
      <c r="J350" s="29" t="e">
        <f t="shared" si="138"/>
        <v>#REF!</v>
      </c>
      <c r="K350" s="29" t="e">
        <f t="shared" si="138"/>
        <v>#REF!</v>
      </c>
      <c r="L350" s="29" t="e">
        <f t="shared" si="138"/>
        <v>#REF!</v>
      </c>
      <c r="M350" s="29" t="e">
        <f t="shared" si="138"/>
        <v>#REF!</v>
      </c>
      <c r="N350" s="29">
        <v>23153.200000000001</v>
      </c>
      <c r="O350" s="29">
        <v>23153.200000000001</v>
      </c>
      <c r="P350" s="348">
        <v>23153.200000000001</v>
      </c>
      <c r="Q350" s="256">
        <v>100</v>
      </c>
    </row>
    <row r="351" spans="1:17" s="30" customFormat="1">
      <c r="A351" s="26" t="s">
        <v>57</v>
      </c>
      <c r="B351" s="27" t="s">
        <v>502</v>
      </c>
      <c r="C351" s="27" t="s">
        <v>56</v>
      </c>
      <c r="D351" s="27" t="s">
        <v>16</v>
      </c>
      <c r="E351" s="27"/>
      <c r="F351" s="27"/>
      <c r="G351" s="28">
        <v>0.1</v>
      </c>
      <c r="H351" s="28">
        <v>506</v>
      </c>
      <c r="I351" s="29">
        <f t="shared" si="138"/>
        <v>0</v>
      </c>
      <c r="J351" s="29" t="e">
        <f>J352+J360+J363</f>
        <v>#REF!</v>
      </c>
      <c r="K351" s="29" t="e">
        <f>K352+K360+K363</f>
        <v>#REF!</v>
      </c>
      <c r="L351" s="29" t="e">
        <f>L352+L360+L363</f>
        <v>#REF!</v>
      </c>
      <c r="M351" s="29" t="e">
        <f>M352+M360+M363</f>
        <v>#REF!</v>
      </c>
      <c r="N351" s="29">
        <v>23153.200000000001</v>
      </c>
      <c r="O351" s="29">
        <v>23153.200000000001</v>
      </c>
      <c r="P351" s="348">
        <v>23153.200000000001</v>
      </c>
      <c r="Q351" s="256">
        <v>100</v>
      </c>
    </row>
    <row r="352" spans="1:17" s="12" customFormat="1" ht="31.5">
      <c r="A352" s="8" t="s">
        <v>607</v>
      </c>
      <c r="B352" s="10" t="s">
        <v>502</v>
      </c>
      <c r="C352" s="10" t="s">
        <v>56</v>
      </c>
      <c r="D352" s="10" t="s">
        <v>16</v>
      </c>
      <c r="E352" s="10" t="s">
        <v>58</v>
      </c>
      <c r="F352" s="10"/>
      <c r="G352" s="11">
        <v>0.1</v>
      </c>
      <c r="H352" s="11">
        <v>506</v>
      </c>
      <c r="I352" s="7">
        <f t="shared" si="138"/>
        <v>0</v>
      </c>
      <c r="J352" s="7" t="e">
        <f t="shared" ref="J352:M352" si="139">J353+J355</f>
        <v>#REF!</v>
      </c>
      <c r="K352" s="7" t="e">
        <f t="shared" si="139"/>
        <v>#REF!</v>
      </c>
      <c r="L352" s="7" t="e">
        <f t="shared" si="139"/>
        <v>#REF!</v>
      </c>
      <c r="M352" s="7" t="e">
        <f t="shared" si="139"/>
        <v>#REF!</v>
      </c>
      <c r="N352" s="7">
        <v>1306</v>
      </c>
      <c r="O352" s="7">
        <v>1306</v>
      </c>
      <c r="P352" s="349">
        <v>1306</v>
      </c>
      <c r="Q352" s="257">
        <v>100</v>
      </c>
    </row>
    <row r="353" spans="1:17" s="12" customFormat="1" ht="31.5">
      <c r="A353" s="8" t="s">
        <v>59</v>
      </c>
      <c r="B353" s="10" t="s">
        <v>502</v>
      </c>
      <c r="C353" s="10" t="s">
        <v>56</v>
      </c>
      <c r="D353" s="10" t="s">
        <v>16</v>
      </c>
      <c r="E353" s="34" t="s">
        <v>445</v>
      </c>
      <c r="F353" s="10"/>
      <c r="G353" s="11">
        <v>0.1</v>
      </c>
      <c r="H353" s="11">
        <v>506</v>
      </c>
      <c r="I353" s="7">
        <f t="shared" si="138"/>
        <v>0</v>
      </c>
      <c r="J353" s="7">
        <f t="shared" si="138"/>
        <v>506</v>
      </c>
      <c r="K353" s="7">
        <f t="shared" si="138"/>
        <v>0</v>
      </c>
      <c r="L353" s="7">
        <f t="shared" si="138"/>
        <v>506</v>
      </c>
      <c r="M353" s="7">
        <f t="shared" si="138"/>
        <v>0</v>
      </c>
      <c r="N353" s="7">
        <v>506</v>
      </c>
      <c r="O353" s="7">
        <v>506</v>
      </c>
      <c r="P353" s="349">
        <v>506</v>
      </c>
      <c r="Q353" s="257">
        <v>100</v>
      </c>
    </row>
    <row r="354" spans="1:17" s="12" customFormat="1" ht="47.25">
      <c r="A354" s="8" t="s">
        <v>438</v>
      </c>
      <c r="B354" s="10" t="s">
        <v>502</v>
      </c>
      <c r="C354" s="10" t="s">
        <v>56</v>
      </c>
      <c r="D354" s="10" t="s">
        <v>16</v>
      </c>
      <c r="E354" s="10" t="s">
        <v>445</v>
      </c>
      <c r="F354" s="10" t="s">
        <v>385</v>
      </c>
      <c r="G354" s="11">
        <v>0.1</v>
      </c>
      <c r="H354" s="31">
        <v>506</v>
      </c>
      <c r="I354" s="7"/>
      <c r="J354" s="7">
        <f>H354+I354</f>
        <v>506</v>
      </c>
      <c r="K354" s="7"/>
      <c r="L354" s="7">
        <f>J354+K354</f>
        <v>506</v>
      </c>
      <c r="M354" s="7"/>
      <c r="N354" s="7">
        <v>506</v>
      </c>
      <c r="O354" s="7">
        <v>506</v>
      </c>
      <c r="P354" s="349">
        <v>506</v>
      </c>
      <c r="Q354" s="257">
        <v>100</v>
      </c>
    </row>
    <row r="355" spans="1:17" s="12" customFormat="1" ht="47.25">
      <c r="A355" s="32" t="s">
        <v>989</v>
      </c>
      <c r="B355" s="10" t="s">
        <v>502</v>
      </c>
      <c r="C355" s="10" t="s">
        <v>56</v>
      </c>
      <c r="D355" s="10" t="s">
        <v>16</v>
      </c>
      <c r="E355" s="10" t="s">
        <v>987</v>
      </c>
      <c r="F355" s="10"/>
      <c r="G355" s="11"/>
      <c r="H355" s="31"/>
      <c r="I355" s="7"/>
      <c r="J355" s="7" t="e">
        <f>J356+J358</f>
        <v>#REF!</v>
      </c>
      <c r="K355" s="7" t="e">
        <f>K356+K358</f>
        <v>#REF!</v>
      </c>
      <c r="L355" s="7" t="e">
        <f>L356+L358</f>
        <v>#REF!</v>
      </c>
      <c r="M355" s="7" t="e">
        <f>M356+M358</f>
        <v>#REF!</v>
      </c>
      <c r="N355" s="7">
        <v>800</v>
      </c>
      <c r="O355" s="7">
        <v>800</v>
      </c>
      <c r="P355" s="349">
        <v>800</v>
      </c>
      <c r="Q355" s="257">
        <v>100</v>
      </c>
    </row>
    <row r="356" spans="1:17" s="12" customFormat="1" ht="31.5">
      <c r="A356" s="32" t="s">
        <v>990</v>
      </c>
      <c r="B356" s="10" t="s">
        <v>502</v>
      </c>
      <c r="C356" s="10" t="s">
        <v>56</v>
      </c>
      <c r="D356" s="10" t="s">
        <v>16</v>
      </c>
      <c r="E356" s="10" t="s">
        <v>986</v>
      </c>
      <c r="F356" s="10"/>
      <c r="G356" s="11"/>
      <c r="H356" s="31"/>
      <c r="I356" s="7"/>
      <c r="J356" s="7" t="e">
        <f>J357+#REF!</f>
        <v>#REF!</v>
      </c>
      <c r="K356" s="7" t="e">
        <f>K357+#REF!</f>
        <v>#REF!</v>
      </c>
      <c r="L356" s="7" t="e">
        <f>L357+#REF!</f>
        <v>#REF!</v>
      </c>
      <c r="M356" s="7" t="e">
        <f>M357+#REF!</f>
        <v>#REF!</v>
      </c>
      <c r="N356" s="7">
        <v>500</v>
      </c>
      <c r="O356" s="7">
        <v>500</v>
      </c>
      <c r="P356" s="349">
        <v>500</v>
      </c>
      <c r="Q356" s="257">
        <v>100</v>
      </c>
    </row>
    <row r="357" spans="1:17" s="12" customFormat="1" ht="47.25">
      <c r="A357" s="8" t="s">
        <v>438</v>
      </c>
      <c r="B357" s="10" t="s">
        <v>502</v>
      </c>
      <c r="C357" s="10" t="s">
        <v>56</v>
      </c>
      <c r="D357" s="10" t="s">
        <v>16</v>
      </c>
      <c r="E357" s="10" t="s">
        <v>986</v>
      </c>
      <c r="F357" s="10" t="s">
        <v>385</v>
      </c>
      <c r="G357" s="11"/>
      <c r="H357" s="31"/>
      <c r="I357" s="7"/>
      <c r="J357" s="7"/>
      <c r="K357" s="7">
        <v>500</v>
      </c>
      <c r="L357" s="7">
        <f>J357+K357</f>
        <v>500</v>
      </c>
      <c r="M357" s="7"/>
      <c r="N357" s="7">
        <v>500</v>
      </c>
      <c r="O357" s="7">
        <v>500</v>
      </c>
      <c r="P357" s="349">
        <v>500</v>
      </c>
      <c r="Q357" s="257">
        <v>100</v>
      </c>
    </row>
    <row r="358" spans="1:17" s="12" customFormat="1" ht="47.25">
      <c r="A358" s="32" t="s">
        <v>991</v>
      </c>
      <c r="B358" s="10" t="s">
        <v>502</v>
      </c>
      <c r="C358" s="10" t="s">
        <v>56</v>
      </c>
      <c r="D358" s="10" t="s">
        <v>16</v>
      </c>
      <c r="E358" s="10" t="s">
        <v>988</v>
      </c>
      <c r="F358" s="10"/>
      <c r="G358" s="11"/>
      <c r="H358" s="31"/>
      <c r="I358" s="7"/>
      <c r="J358" s="7" t="e">
        <f>#REF!+J359</f>
        <v>#REF!</v>
      </c>
      <c r="K358" s="7" t="e">
        <f>#REF!+K359</f>
        <v>#REF!</v>
      </c>
      <c r="L358" s="7" t="e">
        <f>#REF!+L359</f>
        <v>#REF!</v>
      </c>
      <c r="M358" s="7" t="e">
        <f>#REF!+M359</f>
        <v>#REF!</v>
      </c>
      <c r="N358" s="7">
        <v>300</v>
      </c>
      <c r="O358" s="7">
        <v>300</v>
      </c>
      <c r="P358" s="349">
        <v>300</v>
      </c>
      <c r="Q358" s="257">
        <v>100</v>
      </c>
    </row>
    <row r="359" spans="1:17" s="12" customFormat="1" ht="47.25">
      <c r="A359" s="8" t="s">
        <v>438</v>
      </c>
      <c r="B359" s="10" t="s">
        <v>502</v>
      </c>
      <c r="C359" s="10" t="s">
        <v>56</v>
      </c>
      <c r="D359" s="10" t="s">
        <v>16</v>
      </c>
      <c r="E359" s="10" t="s">
        <v>988</v>
      </c>
      <c r="F359" s="10" t="s">
        <v>385</v>
      </c>
      <c r="G359" s="11"/>
      <c r="H359" s="31"/>
      <c r="I359" s="7"/>
      <c r="J359" s="7"/>
      <c r="K359" s="7">
        <v>300</v>
      </c>
      <c r="L359" s="7">
        <f>J359+K359</f>
        <v>300</v>
      </c>
      <c r="M359" s="7"/>
      <c r="N359" s="7">
        <v>300</v>
      </c>
      <c r="O359" s="7">
        <v>300</v>
      </c>
      <c r="P359" s="349">
        <v>300</v>
      </c>
      <c r="Q359" s="257">
        <v>100</v>
      </c>
    </row>
    <row r="360" spans="1:17" s="12" customFormat="1">
      <c r="A360" s="8" t="s">
        <v>17</v>
      </c>
      <c r="B360" s="10" t="s">
        <v>502</v>
      </c>
      <c r="C360" s="10" t="s">
        <v>56</v>
      </c>
      <c r="D360" s="10" t="s">
        <v>16</v>
      </c>
      <c r="E360" s="10" t="s">
        <v>18</v>
      </c>
      <c r="F360" s="10"/>
      <c r="G360" s="11"/>
      <c r="H360" s="31"/>
      <c r="I360" s="7"/>
      <c r="J360" s="7">
        <f t="shared" ref="J360:M361" si="140">J361</f>
        <v>0</v>
      </c>
      <c r="K360" s="7">
        <f t="shared" si="140"/>
        <v>21217.200000000001</v>
      </c>
      <c r="L360" s="7">
        <f t="shared" si="140"/>
        <v>21217.200000000001</v>
      </c>
      <c r="M360" s="7">
        <f t="shared" si="140"/>
        <v>0</v>
      </c>
      <c r="N360" s="7">
        <v>21217.200000000001</v>
      </c>
      <c r="O360" s="7">
        <v>21217.200000000001</v>
      </c>
      <c r="P360" s="349">
        <v>21217.200000000001</v>
      </c>
      <c r="Q360" s="257">
        <v>100</v>
      </c>
    </row>
    <row r="361" spans="1:17" s="12" customFormat="1">
      <c r="A361" s="8" t="s">
        <v>60</v>
      </c>
      <c r="B361" s="10" t="s">
        <v>502</v>
      </c>
      <c r="C361" s="10" t="s">
        <v>56</v>
      </c>
      <c r="D361" s="10" t="s">
        <v>16</v>
      </c>
      <c r="E361" s="10" t="s">
        <v>61</v>
      </c>
      <c r="F361" s="10"/>
      <c r="G361" s="11"/>
      <c r="H361" s="31"/>
      <c r="I361" s="7"/>
      <c r="J361" s="7">
        <f t="shared" si="140"/>
        <v>0</v>
      </c>
      <c r="K361" s="7">
        <f t="shared" si="140"/>
        <v>21217.200000000001</v>
      </c>
      <c r="L361" s="7">
        <f t="shared" si="140"/>
        <v>21217.200000000001</v>
      </c>
      <c r="M361" s="7">
        <f t="shared" si="140"/>
        <v>0</v>
      </c>
      <c r="N361" s="7">
        <v>21217.200000000001</v>
      </c>
      <c r="O361" s="7">
        <v>21217.200000000001</v>
      </c>
      <c r="P361" s="349">
        <v>21217.200000000001</v>
      </c>
      <c r="Q361" s="257">
        <v>100</v>
      </c>
    </row>
    <row r="362" spans="1:17" s="12" customFormat="1" ht="47.25">
      <c r="A362" s="8" t="s">
        <v>438</v>
      </c>
      <c r="B362" s="10" t="s">
        <v>502</v>
      </c>
      <c r="C362" s="10" t="s">
        <v>56</v>
      </c>
      <c r="D362" s="10" t="s">
        <v>16</v>
      </c>
      <c r="E362" s="10" t="s">
        <v>61</v>
      </c>
      <c r="F362" s="10" t="s">
        <v>385</v>
      </c>
      <c r="G362" s="11"/>
      <c r="H362" s="31"/>
      <c r="I362" s="7"/>
      <c r="J362" s="7"/>
      <c r="K362" s="7">
        <f>20517.2+700</f>
        <v>21217.200000000001</v>
      </c>
      <c r="L362" s="7">
        <f>J362+K362</f>
        <v>21217.200000000001</v>
      </c>
      <c r="M362" s="7"/>
      <c r="N362" s="7">
        <v>21217.200000000001</v>
      </c>
      <c r="O362" s="7">
        <v>21217.200000000001</v>
      </c>
      <c r="P362" s="349">
        <v>21217.200000000001</v>
      </c>
      <c r="Q362" s="257">
        <v>100</v>
      </c>
    </row>
    <row r="363" spans="1:17" s="12" customFormat="1" ht="31.5">
      <c r="A363" s="33" t="s">
        <v>797</v>
      </c>
      <c r="B363" s="10" t="s">
        <v>502</v>
      </c>
      <c r="C363" s="10" t="s">
        <v>56</v>
      </c>
      <c r="D363" s="10" t="s">
        <v>16</v>
      </c>
      <c r="E363" s="10" t="s">
        <v>952</v>
      </c>
      <c r="F363" s="10"/>
      <c r="G363" s="11"/>
      <c r="H363" s="31"/>
      <c r="I363" s="7"/>
      <c r="J363" s="7">
        <f t="shared" ref="J363:M363" si="141">J364</f>
        <v>0</v>
      </c>
      <c r="K363" s="7">
        <f t="shared" si="141"/>
        <v>630</v>
      </c>
      <c r="L363" s="7">
        <f t="shared" si="141"/>
        <v>630</v>
      </c>
      <c r="M363" s="7">
        <f t="shared" si="141"/>
        <v>0</v>
      </c>
      <c r="N363" s="7">
        <v>630</v>
      </c>
      <c r="O363" s="7">
        <v>630</v>
      </c>
      <c r="P363" s="349">
        <v>630</v>
      </c>
      <c r="Q363" s="257">
        <v>100</v>
      </c>
    </row>
    <row r="364" spans="1:17" s="12" customFormat="1" ht="47.25">
      <c r="A364" s="8" t="s">
        <v>438</v>
      </c>
      <c r="B364" s="10" t="s">
        <v>502</v>
      </c>
      <c r="C364" s="10" t="s">
        <v>56</v>
      </c>
      <c r="D364" s="10" t="s">
        <v>16</v>
      </c>
      <c r="E364" s="10" t="s">
        <v>952</v>
      </c>
      <c r="F364" s="10" t="s">
        <v>385</v>
      </c>
      <c r="G364" s="11"/>
      <c r="H364" s="31"/>
      <c r="I364" s="7"/>
      <c r="J364" s="7"/>
      <c r="K364" s="7">
        <v>630</v>
      </c>
      <c r="L364" s="7">
        <f>J364+K364</f>
        <v>630</v>
      </c>
      <c r="M364" s="7"/>
      <c r="N364" s="7">
        <v>630</v>
      </c>
      <c r="O364" s="7">
        <v>630</v>
      </c>
      <c r="P364" s="349">
        <v>630</v>
      </c>
      <c r="Q364" s="257">
        <v>100</v>
      </c>
    </row>
    <row r="365" spans="1:17" s="50" customFormat="1">
      <c r="A365" s="408" t="s">
        <v>71</v>
      </c>
      <c r="B365" s="409"/>
      <c r="C365" s="409"/>
      <c r="D365" s="409"/>
      <c r="E365" s="409"/>
      <c r="F365" s="409"/>
      <c r="G365" s="28">
        <v>508470</v>
      </c>
      <c r="H365" s="28">
        <v>3017010.5</v>
      </c>
      <c r="I365" s="29" t="e">
        <f>I366+I381+I553+I562</f>
        <v>#REF!</v>
      </c>
      <c r="J365" s="29" t="e">
        <f>J366+J381+J553+J562</f>
        <v>#REF!</v>
      </c>
      <c r="K365" s="29" t="e">
        <f>K366+K381+K553+K562</f>
        <v>#REF!</v>
      </c>
      <c r="L365" s="29" t="e">
        <f>L366+L381+L553+L562</f>
        <v>#REF!</v>
      </c>
      <c r="M365" s="29" t="e">
        <f>M366+M381+M553+M562</f>
        <v>#REF!</v>
      </c>
      <c r="N365" s="29">
        <v>3255927.7</v>
      </c>
      <c r="O365" s="29">
        <v>3259253</v>
      </c>
      <c r="P365" s="348">
        <v>3247274.1</v>
      </c>
      <c r="Q365" s="256">
        <v>99.63</v>
      </c>
    </row>
    <row r="366" spans="1:17">
      <c r="A366" s="26" t="s">
        <v>52</v>
      </c>
      <c r="B366" s="27" t="s">
        <v>503</v>
      </c>
      <c r="C366" s="27" t="s">
        <v>16</v>
      </c>
      <c r="D366" s="27"/>
      <c r="E366" s="27"/>
      <c r="F366" s="27"/>
      <c r="G366" s="28">
        <v>9651.5</v>
      </c>
      <c r="H366" s="28">
        <v>21099.5</v>
      </c>
      <c r="I366" s="29" t="e">
        <f>I367+I376</f>
        <v>#REF!</v>
      </c>
      <c r="J366" s="29" t="e">
        <f>J367+J376</f>
        <v>#REF!</v>
      </c>
      <c r="K366" s="29" t="e">
        <f>K367+K376</f>
        <v>#REF!</v>
      </c>
      <c r="L366" s="29" t="e">
        <f>L367+L376</f>
        <v>#REF!</v>
      </c>
      <c r="M366" s="29" t="e">
        <f>M367+M376</f>
        <v>#REF!</v>
      </c>
      <c r="N366" s="29">
        <v>25996.400000000001</v>
      </c>
      <c r="O366" s="29">
        <v>25996.400000000001</v>
      </c>
      <c r="P366" s="348">
        <v>25408.7</v>
      </c>
      <c r="Q366" s="256">
        <v>97.74</v>
      </c>
    </row>
    <row r="367" spans="1:17" s="30" customFormat="1" ht="31.5">
      <c r="A367" s="26" t="s">
        <v>72</v>
      </c>
      <c r="B367" s="27" t="s">
        <v>503</v>
      </c>
      <c r="C367" s="27" t="s">
        <v>16</v>
      </c>
      <c r="D367" s="27" t="s">
        <v>69</v>
      </c>
      <c r="E367" s="27"/>
      <c r="F367" s="27"/>
      <c r="G367" s="28">
        <v>4651.5</v>
      </c>
      <c r="H367" s="28">
        <v>16099.5</v>
      </c>
      <c r="I367" s="29" t="e">
        <f>I368+#REF!</f>
        <v>#REF!</v>
      </c>
      <c r="J367" s="29" t="e">
        <f>J368+#REF!</f>
        <v>#REF!</v>
      </c>
      <c r="K367" s="29" t="e">
        <f>K368+#REF!+#REF!</f>
        <v>#REF!</v>
      </c>
      <c r="L367" s="29" t="e">
        <f>L368+#REF!+#REF!</f>
        <v>#REF!</v>
      </c>
      <c r="M367" s="29" t="e">
        <f>M368+#REF!+#REF!</f>
        <v>#REF!</v>
      </c>
      <c r="N367" s="29">
        <v>20996.400000000001</v>
      </c>
      <c r="O367" s="29">
        <v>20996.400000000001</v>
      </c>
      <c r="P367" s="348">
        <v>20992.7</v>
      </c>
      <c r="Q367" s="256">
        <v>99.98</v>
      </c>
    </row>
    <row r="368" spans="1:17" s="12" customFormat="1">
      <c r="A368" s="8" t="s">
        <v>363</v>
      </c>
      <c r="B368" s="10" t="s">
        <v>503</v>
      </c>
      <c r="C368" s="10" t="s">
        <v>16</v>
      </c>
      <c r="D368" s="10" t="s">
        <v>69</v>
      </c>
      <c r="E368" s="10" t="s">
        <v>364</v>
      </c>
      <c r="F368" s="10"/>
      <c r="G368" s="11">
        <v>3939.8</v>
      </c>
      <c r="H368" s="11">
        <v>15387.8</v>
      </c>
      <c r="I368" s="7" t="e">
        <f t="shared" ref="I368:M368" si="142">I369+I373</f>
        <v>#REF!</v>
      </c>
      <c r="J368" s="7">
        <f t="shared" si="142"/>
        <v>15387.8</v>
      </c>
      <c r="K368" s="7">
        <f t="shared" si="142"/>
        <v>5502.6</v>
      </c>
      <c r="L368" s="7">
        <f t="shared" si="142"/>
        <v>20890.400000000001</v>
      </c>
      <c r="M368" s="7">
        <f t="shared" si="142"/>
        <v>106</v>
      </c>
      <c r="N368" s="7">
        <v>20996.400000000001</v>
      </c>
      <c r="O368" s="7">
        <v>20996.400000000001</v>
      </c>
      <c r="P368" s="349">
        <v>20992.7</v>
      </c>
      <c r="Q368" s="257">
        <v>99.98</v>
      </c>
    </row>
    <row r="369" spans="1:17" s="12" customFormat="1" ht="31.5">
      <c r="A369" s="8" t="s">
        <v>1010</v>
      </c>
      <c r="B369" s="10" t="s">
        <v>503</v>
      </c>
      <c r="C369" s="10" t="s">
        <v>16</v>
      </c>
      <c r="D369" s="10" t="s">
        <v>69</v>
      </c>
      <c r="E369" s="10" t="s">
        <v>748</v>
      </c>
      <c r="F369" s="10"/>
      <c r="G369" s="11">
        <v>2700</v>
      </c>
      <c r="H369" s="11">
        <v>2700</v>
      </c>
      <c r="I369" s="7" t="e">
        <f>#REF!+I370+I372</f>
        <v>#REF!</v>
      </c>
      <c r="J369" s="7">
        <f>J370+J372</f>
        <v>2700</v>
      </c>
      <c r="K369" s="7">
        <f>K370+K372</f>
        <v>0</v>
      </c>
      <c r="L369" s="7">
        <f>L370+L372+L371</f>
        <v>2700</v>
      </c>
      <c r="M369" s="7">
        <f>M370+M372+M371</f>
        <v>0</v>
      </c>
      <c r="N369" s="7">
        <v>2700</v>
      </c>
      <c r="O369" s="7">
        <v>2700</v>
      </c>
      <c r="P369" s="349">
        <v>2696.3</v>
      </c>
      <c r="Q369" s="257">
        <v>99.86</v>
      </c>
    </row>
    <row r="370" spans="1:17" s="12" customFormat="1">
      <c r="A370" s="8" t="s">
        <v>546</v>
      </c>
      <c r="B370" s="10" t="s">
        <v>503</v>
      </c>
      <c r="C370" s="10" t="s">
        <v>16</v>
      </c>
      <c r="D370" s="10" t="s">
        <v>69</v>
      </c>
      <c r="E370" s="10" t="s">
        <v>748</v>
      </c>
      <c r="F370" s="10" t="s">
        <v>374</v>
      </c>
      <c r="G370" s="11">
        <v>2174</v>
      </c>
      <c r="H370" s="31">
        <v>2174</v>
      </c>
      <c r="I370" s="7">
        <v>110</v>
      </c>
      <c r="J370" s="7">
        <f>H370+I370</f>
        <v>2284</v>
      </c>
      <c r="K370" s="7"/>
      <c r="L370" s="7">
        <f>J370+K370</f>
        <v>2284</v>
      </c>
      <c r="M370" s="40">
        <v>-50.3</v>
      </c>
      <c r="N370" s="7">
        <v>2233.6999999999998</v>
      </c>
      <c r="O370" s="7">
        <v>2233.6999999999998</v>
      </c>
      <c r="P370" s="349">
        <v>2230</v>
      </c>
      <c r="Q370" s="257">
        <v>99.83</v>
      </c>
    </row>
    <row r="371" spans="1:17" s="12" customFormat="1">
      <c r="A371" s="8" t="s">
        <v>362</v>
      </c>
      <c r="B371" s="10" t="s">
        <v>503</v>
      </c>
      <c r="C371" s="10" t="s">
        <v>16</v>
      </c>
      <c r="D371" s="10" t="s">
        <v>69</v>
      </c>
      <c r="E371" s="10" t="s">
        <v>748</v>
      </c>
      <c r="F371" s="10" t="s">
        <v>334</v>
      </c>
      <c r="G371" s="11"/>
      <c r="H371" s="31"/>
      <c r="I371" s="7"/>
      <c r="J371" s="7"/>
      <c r="K371" s="7"/>
      <c r="L371" s="7"/>
      <c r="M371" s="40">
        <v>35.299999999999997</v>
      </c>
      <c r="N371" s="7">
        <v>35.299999999999997</v>
      </c>
      <c r="O371" s="7">
        <v>35.299999999999997</v>
      </c>
      <c r="P371" s="349">
        <v>35.299999999999997</v>
      </c>
      <c r="Q371" s="257">
        <v>100</v>
      </c>
    </row>
    <row r="372" spans="1:17" s="12" customFormat="1">
      <c r="A372" s="8" t="s">
        <v>373</v>
      </c>
      <c r="B372" s="10" t="s">
        <v>503</v>
      </c>
      <c r="C372" s="10" t="s">
        <v>16</v>
      </c>
      <c r="D372" s="10" t="s">
        <v>69</v>
      </c>
      <c r="E372" s="10" t="s">
        <v>748</v>
      </c>
      <c r="F372" s="10" t="s">
        <v>372</v>
      </c>
      <c r="G372" s="11">
        <v>416</v>
      </c>
      <c r="H372" s="31">
        <v>416</v>
      </c>
      <c r="I372" s="7"/>
      <c r="J372" s="7">
        <f>H372+I372</f>
        <v>416</v>
      </c>
      <c r="K372" s="7"/>
      <c r="L372" s="7">
        <f>J372+K372</f>
        <v>416</v>
      </c>
      <c r="M372" s="40">
        <v>15</v>
      </c>
      <c r="N372" s="7">
        <v>431</v>
      </c>
      <c r="O372" s="7">
        <v>431</v>
      </c>
      <c r="P372" s="349">
        <v>431</v>
      </c>
      <c r="Q372" s="257">
        <v>100</v>
      </c>
    </row>
    <row r="373" spans="1:17" s="12" customFormat="1" ht="31.5">
      <c r="A373" s="8" t="s">
        <v>645</v>
      </c>
      <c r="B373" s="10" t="s">
        <v>503</v>
      </c>
      <c r="C373" s="10" t="s">
        <v>16</v>
      </c>
      <c r="D373" s="10" t="s">
        <v>69</v>
      </c>
      <c r="E373" s="10" t="s">
        <v>387</v>
      </c>
      <c r="F373" s="10"/>
      <c r="G373" s="11">
        <v>1239.8</v>
      </c>
      <c r="H373" s="11">
        <v>12687.8</v>
      </c>
      <c r="I373" s="7">
        <f t="shared" ref="I373:M373" si="143">I374+I375</f>
        <v>0</v>
      </c>
      <c r="J373" s="7">
        <f t="shared" si="143"/>
        <v>12687.8</v>
      </c>
      <c r="K373" s="7">
        <f t="shared" si="143"/>
        <v>5502.6</v>
      </c>
      <c r="L373" s="7">
        <f t="shared" si="143"/>
        <v>18190.400000000001</v>
      </c>
      <c r="M373" s="40">
        <f t="shared" si="143"/>
        <v>106</v>
      </c>
      <c r="N373" s="7">
        <v>18296.400000000001</v>
      </c>
      <c r="O373" s="7">
        <v>18296.400000000001</v>
      </c>
      <c r="P373" s="349">
        <v>18296.400000000001</v>
      </c>
      <c r="Q373" s="257">
        <v>100</v>
      </c>
    </row>
    <row r="374" spans="1:17" s="12" customFormat="1" ht="47.25">
      <c r="A374" s="8" t="s">
        <v>360</v>
      </c>
      <c r="B374" s="10" t="s">
        <v>503</v>
      </c>
      <c r="C374" s="10" t="s">
        <v>16</v>
      </c>
      <c r="D374" s="10" t="s">
        <v>69</v>
      </c>
      <c r="E374" s="10" t="s">
        <v>387</v>
      </c>
      <c r="F374" s="10" t="s">
        <v>359</v>
      </c>
      <c r="G374" s="11">
        <v>1245.3</v>
      </c>
      <c r="H374" s="31">
        <v>12668.4</v>
      </c>
      <c r="I374" s="7"/>
      <c r="J374" s="7">
        <f>H374+I374</f>
        <v>12668.4</v>
      </c>
      <c r="K374" s="7">
        <v>4502.6000000000004</v>
      </c>
      <c r="L374" s="7">
        <f>J374+K374</f>
        <v>17171</v>
      </c>
      <c r="M374" s="40">
        <v>19</v>
      </c>
      <c r="N374" s="7">
        <v>17190</v>
      </c>
      <c r="O374" s="7">
        <v>17190</v>
      </c>
      <c r="P374" s="349">
        <v>17190</v>
      </c>
      <c r="Q374" s="257">
        <v>100</v>
      </c>
    </row>
    <row r="375" spans="1:17" s="12" customFormat="1">
      <c r="A375" s="8" t="s">
        <v>373</v>
      </c>
      <c r="B375" s="10" t="s">
        <v>503</v>
      </c>
      <c r="C375" s="10" t="s">
        <v>16</v>
      </c>
      <c r="D375" s="10" t="s">
        <v>69</v>
      </c>
      <c r="E375" s="10" t="s">
        <v>387</v>
      </c>
      <c r="F375" s="10" t="s">
        <v>372</v>
      </c>
      <c r="G375" s="11">
        <v>-5.5</v>
      </c>
      <c r="H375" s="31">
        <v>19.399999999999999</v>
      </c>
      <c r="I375" s="7"/>
      <c r="J375" s="7">
        <f>H375+I375</f>
        <v>19.399999999999999</v>
      </c>
      <c r="K375" s="7">
        <v>1000</v>
      </c>
      <c r="L375" s="7">
        <f>J375+K375</f>
        <v>1019.4</v>
      </c>
      <c r="M375" s="40">
        <v>87</v>
      </c>
      <c r="N375" s="7">
        <v>1106.4000000000001</v>
      </c>
      <c r="O375" s="7">
        <v>1106.4000000000001</v>
      </c>
      <c r="P375" s="349">
        <v>1106.4000000000001</v>
      </c>
      <c r="Q375" s="257">
        <v>100</v>
      </c>
    </row>
    <row r="376" spans="1:17" s="30" customFormat="1">
      <c r="A376" s="26" t="s">
        <v>53</v>
      </c>
      <c r="B376" s="27" t="s">
        <v>503</v>
      </c>
      <c r="C376" s="27" t="s">
        <v>16</v>
      </c>
      <c r="D376" s="27" t="s">
        <v>54</v>
      </c>
      <c r="E376" s="27"/>
      <c r="F376" s="27"/>
      <c r="G376" s="28">
        <v>5000</v>
      </c>
      <c r="H376" s="28">
        <v>5000</v>
      </c>
      <c r="I376" s="29">
        <f t="shared" ref="I376:M377" si="144">I377</f>
        <v>0</v>
      </c>
      <c r="J376" s="29">
        <f t="shared" si="144"/>
        <v>5000</v>
      </c>
      <c r="K376" s="29">
        <f t="shared" si="144"/>
        <v>0</v>
      </c>
      <c r="L376" s="29">
        <f t="shared" si="144"/>
        <v>5000</v>
      </c>
      <c r="M376" s="51">
        <f t="shared" si="144"/>
        <v>0</v>
      </c>
      <c r="N376" s="29">
        <v>5000</v>
      </c>
      <c r="O376" s="29">
        <v>5000</v>
      </c>
      <c r="P376" s="348">
        <v>4416</v>
      </c>
      <c r="Q376" s="256">
        <v>88.32</v>
      </c>
    </row>
    <row r="377" spans="1:17" s="12" customFormat="1">
      <c r="A377" s="8" t="s">
        <v>17</v>
      </c>
      <c r="B377" s="10" t="s">
        <v>503</v>
      </c>
      <c r="C377" s="10" t="s">
        <v>16</v>
      </c>
      <c r="D377" s="10">
        <v>13</v>
      </c>
      <c r="E377" s="10" t="s">
        <v>18</v>
      </c>
      <c r="F377" s="10"/>
      <c r="G377" s="11">
        <v>5000</v>
      </c>
      <c r="H377" s="11">
        <v>5000</v>
      </c>
      <c r="I377" s="7">
        <f t="shared" si="144"/>
        <v>0</v>
      </c>
      <c r="J377" s="7">
        <f t="shared" si="144"/>
        <v>5000</v>
      </c>
      <c r="K377" s="7">
        <f t="shared" si="144"/>
        <v>0</v>
      </c>
      <c r="L377" s="7">
        <f t="shared" si="144"/>
        <v>5000</v>
      </c>
      <c r="M377" s="40">
        <f t="shared" si="144"/>
        <v>0</v>
      </c>
      <c r="N377" s="7">
        <v>5000</v>
      </c>
      <c r="O377" s="7">
        <v>5000</v>
      </c>
      <c r="P377" s="349">
        <v>4416</v>
      </c>
      <c r="Q377" s="257">
        <v>88.32</v>
      </c>
    </row>
    <row r="378" spans="1:17" s="12" customFormat="1">
      <c r="A378" s="8" t="s">
        <v>672</v>
      </c>
      <c r="B378" s="10" t="s">
        <v>503</v>
      </c>
      <c r="C378" s="10" t="s">
        <v>16</v>
      </c>
      <c r="D378" s="10" t="s">
        <v>54</v>
      </c>
      <c r="E378" s="10" t="s">
        <v>646</v>
      </c>
      <c r="F378" s="10"/>
      <c r="G378" s="11">
        <v>5000</v>
      </c>
      <c r="H378" s="11">
        <v>5000</v>
      </c>
      <c r="I378" s="7">
        <f t="shared" ref="I378:M378" si="145">I379+I380</f>
        <v>0</v>
      </c>
      <c r="J378" s="7">
        <f t="shared" si="145"/>
        <v>5000</v>
      </c>
      <c r="K378" s="7">
        <f t="shared" si="145"/>
        <v>0</v>
      </c>
      <c r="L378" s="7">
        <f t="shared" si="145"/>
        <v>5000</v>
      </c>
      <c r="M378" s="40">
        <f t="shared" si="145"/>
        <v>0</v>
      </c>
      <c r="N378" s="7">
        <v>5000</v>
      </c>
      <c r="O378" s="7">
        <v>5000</v>
      </c>
      <c r="P378" s="349">
        <v>4416</v>
      </c>
      <c r="Q378" s="257">
        <v>88.32</v>
      </c>
    </row>
    <row r="379" spans="1:17" s="12" customFormat="1">
      <c r="A379" s="8" t="s">
        <v>362</v>
      </c>
      <c r="B379" s="10" t="s">
        <v>503</v>
      </c>
      <c r="C379" s="10" t="s">
        <v>16</v>
      </c>
      <c r="D379" s="10" t="s">
        <v>54</v>
      </c>
      <c r="E379" s="10" t="s">
        <v>646</v>
      </c>
      <c r="F379" s="10" t="s">
        <v>334</v>
      </c>
      <c r="G379" s="11">
        <v>3500</v>
      </c>
      <c r="H379" s="31">
        <v>3500</v>
      </c>
      <c r="I379" s="7"/>
      <c r="J379" s="7">
        <f>H379+I379</f>
        <v>3500</v>
      </c>
      <c r="K379" s="7"/>
      <c r="L379" s="7">
        <f>J379+K379</f>
        <v>3500</v>
      </c>
      <c r="M379" s="40"/>
      <c r="N379" s="7">
        <v>3500</v>
      </c>
      <c r="O379" s="7">
        <v>3500</v>
      </c>
      <c r="P379" s="349">
        <v>2916</v>
      </c>
      <c r="Q379" s="257">
        <v>83.31</v>
      </c>
    </row>
    <row r="380" spans="1:17" s="12" customFormat="1">
      <c r="A380" s="8" t="s">
        <v>373</v>
      </c>
      <c r="B380" s="10" t="s">
        <v>503</v>
      </c>
      <c r="C380" s="10" t="s">
        <v>16</v>
      </c>
      <c r="D380" s="10" t="s">
        <v>54</v>
      </c>
      <c r="E380" s="10" t="s">
        <v>646</v>
      </c>
      <c r="F380" s="10" t="s">
        <v>372</v>
      </c>
      <c r="G380" s="11">
        <v>1500</v>
      </c>
      <c r="H380" s="31">
        <v>1500</v>
      </c>
      <c r="I380" s="7"/>
      <c r="J380" s="7">
        <f>H380+I380</f>
        <v>1500</v>
      </c>
      <c r="K380" s="7"/>
      <c r="L380" s="7">
        <f>J380+K380</f>
        <v>1500</v>
      </c>
      <c r="M380" s="40"/>
      <c r="N380" s="7">
        <v>1500</v>
      </c>
      <c r="O380" s="7">
        <v>1500</v>
      </c>
      <c r="P380" s="349">
        <v>1500</v>
      </c>
      <c r="Q380" s="257">
        <v>100</v>
      </c>
    </row>
    <row r="381" spans="1:17" s="30" customFormat="1">
      <c r="A381" s="26" t="s">
        <v>8</v>
      </c>
      <c r="B381" s="27" t="s">
        <v>503</v>
      </c>
      <c r="C381" s="27" t="s">
        <v>9</v>
      </c>
      <c r="D381" s="27"/>
      <c r="E381" s="27"/>
      <c r="F381" s="27"/>
      <c r="G381" s="28">
        <v>351840.8</v>
      </c>
      <c r="H381" s="28">
        <v>996813.1</v>
      </c>
      <c r="I381" s="29" t="e">
        <f>I386+I448+I461+I481+I492+I509</f>
        <v>#REF!</v>
      </c>
      <c r="J381" s="29" t="e">
        <f>J386+J448+J461+J481+J492+J509+J382</f>
        <v>#REF!</v>
      </c>
      <c r="K381" s="29" t="e">
        <f>K386+K448+K461+K481+K492+K509+K382</f>
        <v>#REF!</v>
      </c>
      <c r="L381" s="29" t="e">
        <f>L386+L448+L461+L481+L492+L509+L382</f>
        <v>#REF!</v>
      </c>
      <c r="M381" s="51" t="e">
        <f>M386+M448+M461+M481+M492+M509+M382</f>
        <v>#REF!</v>
      </c>
      <c r="N381" s="29">
        <v>799577</v>
      </c>
      <c r="O381" s="29">
        <v>799673</v>
      </c>
      <c r="P381" s="348">
        <v>789675</v>
      </c>
      <c r="Q381" s="256">
        <v>98.75</v>
      </c>
    </row>
    <row r="382" spans="1:17" s="30" customFormat="1">
      <c r="A382" s="26" t="s">
        <v>226</v>
      </c>
      <c r="B382" s="27" t="s">
        <v>503</v>
      </c>
      <c r="C382" s="27" t="s">
        <v>9</v>
      </c>
      <c r="D382" s="27" t="s">
        <v>16</v>
      </c>
      <c r="E382" s="27"/>
      <c r="F382" s="27"/>
      <c r="G382" s="28"/>
      <c r="H382" s="28"/>
      <c r="I382" s="29"/>
      <c r="J382" s="29">
        <f>J383</f>
        <v>0</v>
      </c>
      <c r="K382" s="29">
        <f t="shared" ref="K382:M384" si="146">K383</f>
        <v>1515.7</v>
      </c>
      <c r="L382" s="29">
        <f t="shared" si="146"/>
        <v>1515.7</v>
      </c>
      <c r="M382" s="51">
        <f t="shared" si="146"/>
        <v>0</v>
      </c>
      <c r="N382" s="29">
        <v>1515.7</v>
      </c>
      <c r="O382" s="29">
        <v>1515.7</v>
      </c>
      <c r="P382" s="348">
        <v>1515.7</v>
      </c>
      <c r="Q382" s="256">
        <v>100</v>
      </c>
    </row>
    <row r="383" spans="1:17" s="30" customFormat="1" ht="31.5">
      <c r="A383" s="33" t="s">
        <v>994</v>
      </c>
      <c r="B383" s="10" t="s">
        <v>503</v>
      </c>
      <c r="C383" s="10" t="s">
        <v>9</v>
      </c>
      <c r="D383" s="10" t="s">
        <v>16</v>
      </c>
      <c r="E383" s="10" t="s">
        <v>992</v>
      </c>
      <c r="F383" s="10"/>
      <c r="G383" s="11"/>
      <c r="H383" s="11"/>
      <c r="I383" s="7"/>
      <c r="J383" s="7">
        <f>J384</f>
        <v>0</v>
      </c>
      <c r="K383" s="7">
        <f t="shared" si="146"/>
        <v>1515.7</v>
      </c>
      <c r="L383" s="7">
        <f t="shared" si="146"/>
        <v>1515.7</v>
      </c>
      <c r="M383" s="40">
        <f t="shared" si="146"/>
        <v>0</v>
      </c>
      <c r="N383" s="7">
        <v>1515.7</v>
      </c>
      <c r="O383" s="7">
        <v>1515.7</v>
      </c>
      <c r="P383" s="349">
        <v>1515.7</v>
      </c>
      <c r="Q383" s="257">
        <v>100</v>
      </c>
    </row>
    <row r="384" spans="1:17" s="30" customFormat="1" ht="31.5">
      <c r="A384" s="33" t="s">
        <v>995</v>
      </c>
      <c r="B384" s="10" t="s">
        <v>503</v>
      </c>
      <c r="C384" s="10" t="s">
        <v>9</v>
      </c>
      <c r="D384" s="10" t="s">
        <v>16</v>
      </c>
      <c r="E384" s="10" t="s">
        <v>993</v>
      </c>
      <c r="F384" s="10"/>
      <c r="G384" s="11"/>
      <c r="H384" s="11"/>
      <c r="I384" s="7"/>
      <c r="J384" s="7">
        <f>J385</f>
        <v>0</v>
      </c>
      <c r="K384" s="7">
        <f t="shared" si="146"/>
        <v>1515.7</v>
      </c>
      <c r="L384" s="7">
        <f t="shared" si="146"/>
        <v>1515.7</v>
      </c>
      <c r="M384" s="40">
        <f t="shared" si="146"/>
        <v>0</v>
      </c>
      <c r="N384" s="7">
        <v>1515.7</v>
      </c>
      <c r="O384" s="7">
        <v>1515.7</v>
      </c>
      <c r="P384" s="349">
        <v>1515.7</v>
      </c>
      <c r="Q384" s="257">
        <v>100</v>
      </c>
    </row>
    <row r="385" spans="1:17" s="30" customFormat="1">
      <c r="A385" s="8" t="s">
        <v>362</v>
      </c>
      <c r="B385" s="10" t="s">
        <v>503</v>
      </c>
      <c r="C385" s="10" t="s">
        <v>9</v>
      </c>
      <c r="D385" s="10" t="s">
        <v>16</v>
      </c>
      <c r="E385" s="10" t="s">
        <v>993</v>
      </c>
      <c r="F385" s="10" t="s">
        <v>334</v>
      </c>
      <c r="G385" s="11"/>
      <c r="H385" s="11"/>
      <c r="I385" s="7"/>
      <c r="J385" s="7"/>
      <c r="K385" s="7">
        <v>1515.7</v>
      </c>
      <c r="L385" s="7">
        <f>J385+K385</f>
        <v>1515.7</v>
      </c>
      <c r="M385" s="40"/>
      <c r="N385" s="7">
        <v>1515.7</v>
      </c>
      <c r="O385" s="7">
        <v>1515.7</v>
      </c>
      <c r="P385" s="349">
        <v>1515.7</v>
      </c>
      <c r="Q385" s="257">
        <v>100</v>
      </c>
    </row>
    <row r="386" spans="1:17" s="30" customFormat="1">
      <c r="A386" s="26" t="s">
        <v>73</v>
      </c>
      <c r="B386" s="27" t="s">
        <v>503</v>
      </c>
      <c r="C386" s="27" t="s">
        <v>9</v>
      </c>
      <c r="D386" s="27" t="s">
        <v>26</v>
      </c>
      <c r="E386" s="27"/>
      <c r="F386" s="27"/>
      <c r="G386" s="28">
        <v>355402.6</v>
      </c>
      <c r="H386" s="28">
        <v>637567.6</v>
      </c>
      <c r="I386" s="29" t="e">
        <f>I410+I424+#REF!+I394+I404</f>
        <v>#REF!</v>
      </c>
      <c r="J386" s="29" t="e">
        <f>J410+J424+#REF!+J394+J404+J387+J389</f>
        <v>#REF!</v>
      </c>
      <c r="K386" s="29" t="e">
        <f>K410+K424+#REF!+K394+K404+K387+K389</f>
        <v>#REF!</v>
      </c>
      <c r="L386" s="29" t="e">
        <f>L410+L424+#REF!+L394+L404+L387+L389+L401</f>
        <v>#REF!</v>
      </c>
      <c r="M386" s="51" t="e">
        <f>M410+M424+#REF!+M394+M404+M387+M389+M401</f>
        <v>#REF!</v>
      </c>
      <c r="N386" s="29">
        <v>431536.2</v>
      </c>
      <c r="O386" s="29">
        <v>431536.2</v>
      </c>
      <c r="P386" s="348">
        <v>430719.9</v>
      </c>
      <c r="Q386" s="256">
        <v>99.81</v>
      </c>
    </row>
    <row r="387" spans="1:17" s="30" customFormat="1" ht="31.5">
      <c r="A387" s="32" t="s">
        <v>984</v>
      </c>
      <c r="B387" s="10" t="s">
        <v>503</v>
      </c>
      <c r="C387" s="10" t="s">
        <v>9</v>
      </c>
      <c r="D387" s="10" t="s">
        <v>26</v>
      </c>
      <c r="E387" s="41" t="s">
        <v>985</v>
      </c>
      <c r="F387" s="10"/>
      <c r="G387" s="11"/>
      <c r="H387" s="11"/>
      <c r="I387" s="7"/>
      <c r="J387" s="7">
        <f t="shared" ref="J387:M387" si="147">J388</f>
        <v>0</v>
      </c>
      <c r="K387" s="7">
        <f t="shared" si="147"/>
        <v>2620</v>
      </c>
      <c r="L387" s="7">
        <f t="shared" si="147"/>
        <v>2620</v>
      </c>
      <c r="M387" s="40">
        <f t="shared" si="147"/>
        <v>0</v>
      </c>
      <c r="N387" s="7">
        <v>2620</v>
      </c>
      <c r="O387" s="7">
        <v>2620</v>
      </c>
      <c r="P387" s="349">
        <v>2620</v>
      </c>
      <c r="Q387" s="257">
        <v>100</v>
      </c>
    </row>
    <row r="388" spans="1:17" s="30" customFormat="1">
      <c r="A388" s="8" t="s">
        <v>367</v>
      </c>
      <c r="B388" s="10" t="s">
        <v>503</v>
      </c>
      <c r="C388" s="10" t="s">
        <v>9</v>
      </c>
      <c r="D388" s="10" t="s">
        <v>26</v>
      </c>
      <c r="E388" s="41" t="s">
        <v>985</v>
      </c>
      <c r="F388" s="10" t="s">
        <v>365</v>
      </c>
      <c r="G388" s="11"/>
      <c r="H388" s="11"/>
      <c r="I388" s="7"/>
      <c r="J388" s="7"/>
      <c r="K388" s="7">
        <v>2620</v>
      </c>
      <c r="L388" s="7">
        <f>J388+K388</f>
        <v>2620</v>
      </c>
      <c r="M388" s="40"/>
      <c r="N388" s="7">
        <v>2620</v>
      </c>
      <c r="O388" s="7">
        <v>2620</v>
      </c>
      <c r="P388" s="349">
        <v>2620</v>
      </c>
      <c r="Q388" s="257">
        <v>100</v>
      </c>
    </row>
    <row r="389" spans="1:17" s="30" customFormat="1" ht="31.5">
      <c r="A389" s="8" t="s">
        <v>922</v>
      </c>
      <c r="B389" s="10" t="s">
        <v>503</v>
      </c>
      <c r="C389" s="10" t="s">
        <v>9</v>
      </c>
      <c r="D389" s="10" t="s">
        <v>26</v>
      </c>
      <c r="E389" s="10" t="s">
        <v>921</v>
      </c>
      <c r="F389" s="10"/>
      <c r="G389" s="11"/>
      <c r="H389" s="11"/>
      <c r="I389" s="7"/>
      <c r="J389" s="7">
        <f t="shared" ref="J389:M389" si="148">J390</f>
        <v>0</v>
      </c>
      <c r="K389" s="7">
        <f t="shared" si="148"/>
        <v>1509.7</v>
      </c>
      <c r="L389" s="7">
        <f t="shared" si="148"/>
        <v>1509.7</v>
      </c>
      <c r="M389" s="40">
        <f t="shared" si="148"/>
        <v>0</v>
      </c>
      <c r="N389" s="7">
        <v>1509.7</v>
      </c>
      <c r="O389" s="7">
        <v>1509.7</v>
      </c>
      <c r="P389" s="349">
        <v>1509.7</v>
      </c>
      <c r="Q389" s="257">
        <v>100</v>
      </c>
    </row>
    <row r="390" spans="1:17" s="30" customFormat="1" ht="31.5">
      <c r="A390" s="8" t="s">
        <v>923</v>
      </c>
      <c r="B390" s="10" t="s">
        <v>503</v>
      </c>
      <c r="C390" s="10" t="s">
        <v>9</v>
      </c>
      <c r="D390" s="10" t="s">
        <v>26</v>
      </c>
      <c r="E390" s="10" t="s">
        <v>920</v>
      </c>
      <c r="F390" s="10"/>
      <c r="G390" s="11"/>
      <c r="H390" s="11"/>
      <c r="I390" s="7"/>
      <c r="J390" s="7">
        <f t="shared" ref="J390:M390" si="149">J391+J392+J393</f>
        <v>0</v>
      </c>
      <c r="K390" s="7">
        <f t="shared" si="149"/>
        <v>1509.7</v>
      </c>
      <c r="L390" s="7">
        <f t="shared" si="149"/>
        <v>1509.7</v>
      </c>
      <c r="M390" s="40">
        <f t="shared" si="149"/>
        <v>0</v>
      </c>
      <c r="N390" s="7">
        <v>1509.7</v>
      </c>
      <c r="O390" s="7">
        <v>1509.7</v>
      </c>
      <c r="P390" s="349">
        <v>1509.7</v>
      </c>
      <c r="Q390" s="257">
        <v>100</v>
      </c>
    </row>
    <row r="391" spans="1:17" s="30" customFormat="1">
      <c r="A391" s="8" t="s">
        <v>362</v>
      </c>
      <c r="B391" s="10" t="s">
        <v>503</v>
      </c>
      <c r="C391" s="10" t="s">
        <v>9</v>
      </c>
      <c r="D391" s="10" t="s">
        <v>26</v>
      </c>
      <c r="E391" s="10" t="s">
        <v>920</v>
      </c>
      <c r="F391" s="10" t="s">
        <v>334</v>
      </c>
      <c r="G391" s="11"/>
      <c r="H391" s="11"/>
      <c r="I391" s="7"/>
      <c r="J391" s="7"/>
      <c r="K391" s="7">
        <f>300+1329.7-120-180</f>
        <v>1329.7</v>
      </c>
      <c r="L391" s="7">
        <f>J391+K391</f>
        <v>1329.7</v>
      </c>
      <c r="M391" s="40"/>
      <c r="N391" s="7">
        <v>1329.7</v>
      </c>
      <c r="O391" s="7">
        <v>1329.7</v>
      </c>
      <c r="P391" s="349">
        <v>1329.7</v>
      </c>
      <c r="Q391" s="257">
        <v>100</v>
      </c>
    </row>
    <row r="392" spans="1:17" s="30" customFormat="1">
      <c r="A392" s="8" t="s">
        <v>373</v>
      </c>
      <c r="B392" s="10" t="s">
        <v>503</v>
      </c>
      <c r="C392" s="10" t="s">
        <v>9</v>
      </c>
      <c r="D392" s="10" t="s">
        <v>26</v>
      </c>
      <c r="E392" s="10" t="s">
        <v>920</v>
      </c>
      <c r="F392" s="10" t="s">
        <v>372</v>
      </c>
      <c r="G392" s="11"/>
      <c r="H392" s="11"/>
      <c r="I392" s="7"/>
      <c r="J392" s="7"/>
      <c r="K392" s="7">
        <v>30</v>
      </c>
      <c r="L392" s="7">
        <f>J392+K392</f>
        <v>30</v>
      </c>
      <c r="M392" s="40"/>
      <c r="N392" s="7">
        <v>30</v>
      </c>
      <c r="O392" s="7">
        <v>30</v>
      </c>
      <c r="P392" s="349">
        <v>30</v>
      </c>
      <c r="Q392" s="257">
        <v>100</v>
      </c>
    </row>
    <row r="393" spans="1:17" s="30" customFormat="1">
      <c r="A393" s="8" t="s">
        <v>367</v>
      </c>
      <c r="B393" s="10" t="s">
        <v>503</v>
      </c>
      <c r="C393" s="10" t="s">
        <v>9</v>
      </c>
      <c r="D393" s="10" t="s">
        <v>26</v>
      </c>
      <c r="E393" s="10" t="s">
        <v>920</v>
      </c>
      <c r="F393" s="10" t="s">
        <v>365</v>
      </c>
      <c r="G393" s="11"/>
      <c r="H393" s="11"/>
      <c r="I393" s="7"/>
      <c r="J393" s="7"/>
      <c r="K393" s="7">
        <v>150</v>
      </c>
      <c r="L393" s="7">
        <f>J393+K393</f>
        <v>150</v>
      </c>
      <c r="M393" s="40"/>
      <c r="N393" s="7">
        <v>150</v>
      </c>
      <c r="O393" s="7">
        <v>150</v>
      </c>
      <c r="P393" s="349">
        <v>150</v>
      </c>
      <c r="Q393" s="257">
        <v>100</v>
      </c>
    </row>
    <row r="394" spans="1:17" s="30" customFormat="1">
      <c r="A394" s="9" t="s">
        <v>80</v>
      </c>
      <c r="B394" s="10" t="s">
        <v>503</v>
      </c>
      <c r="C394" s="10" t="s">
        <v>9</v>
      </c>
      <c r="D394" s="10" t="s">
        <v>26</v>
      </c>
      <c r="E394" s="10" t="s">
        <v>81</v>
      </c>
      <c r="F394" s="27"/>
      <c r="G394" s="28"/>
      <c r="H394" s="11">
        <f>H397</f>
        <v>0</v>
      </c>
      <c r="I394" s="11">
        <f>I397</f>
        <v>98265.5</v>
      </c>
      <c r="J394" s="52">
        <f>J397</f>
        <v>98265.5</v>
      </c>
      <c r="K394" s="52">
        <f t="shared" ref="K394:M394" si="150">K397+K395</f>
        <v>-13044.1</v>
      </c>
      <c r="L394" s="52">
        <f t="shared" si="150"/>
        <v>85221.4</v>
      </c>
      <c r="M394" s="53">
        <f t="shared" si="150"/>
        <v>-200</v>
      </c>
      <c r="N394" s="52">
        <v>85021.4</v>
      </c>
      <c r="O394" s="52">
        <v>85021.4</v>
      </c>
      <c r="P394" s="349">
        <v>84801.600000000006</v>
      </c>
      <c r="Q394" s="257">
        <v>99.74</v>
      </c>
    </row>
    <row r="395" spans="1:17" s="30" customFormat="1">
      <c r="A395" s="9" t="s">
        <v>647</v>
      </c>
      <c r="B395" s="10" t="s">
        <v>503</v>
      </c>
      <c r="C395" s="10" t="s">
        <v>9</v>
      </c>
      <c r="D395" s="10" t="s">
        <v>26</v>
      </c>
      <c r="E395" s="10" t="s">
        <v>919</v>
      </c>
      <c r="F395" s="27"/>
      <c r="G395" s="28"/>
      <c r="H395" s="11"/>
      <c r="I395" s="11"/>
      <c r="J395" s="52"/>
      <c r="K395" s="52">
        <f t="shared" ref="K395:M395" si="151">K396</f>
        <v>6350.2</v>
      </c>
      <c r="L395" s="52">
        <f t="shared" si="151"/>
        <v>6350.2</v>
      </c>
      <c r="M395" s="53">
        <f t="shared" si="151"/>
        <v>0</v>
      </c>
      <c r="N395" s="52">
        <v>6350.2</v>
      </c>
      <c r="O395" s="52">
        <v>6350.2</v>
      </c>
      <c r="P395" s="349">
        <v>6350.2</v>
      </c>
      <c r="Q395" s="257">
        <v>100</v>
      </c>
    </row>
    <row r="396" spans="1:17" s="30" customFormat="1">
      <c r="A396" s="8" t="s">
        <v>373</v>
      </c>
      <c r="B396" s="10" t="s">
        <v>503</v>
      </c>
      <c r="C396" s="10" t="s">
        <v>9</v>
      </c>
      <c r="D396" s="10" t="s">
        <v>26</v>
      </c>
      <c r="E396" s="10" t="s">
        <v>919</v>
      </c>
      <c r="F396" s="10" t="s">
        <v>372</v>
      </c>
      <c r="G396" s="28"/>
      <c r="H396" s="11"/>
      <c r="I396" s="11"/>
      <c r="J396" s="52"/>
      <c r="K396" s="52">
        <v>6350.2</v>
      </c>
      <c r="L396" s="52">
        <f>J396+K396</f>
        <v>6350.2</v>
      </c>
      <c r="M396" s="53"/>
      <c r="N396" s="52">
        <v>6350.2</v>
      </c>
      <c r="O396" s="7">
        <v>6350.2</v>
      </c>
      <c r="P396" s="349">
        <v>6350.2</v>
      </c>
      <c r="Q396" s="257">
        <v>100</v>
      </c>
    </row>
    <row r="397" spans="1:17" s="30" customFormat="1">
      <c r="A397" s="54" t="s">
        <v>789</v>
      </c>
      <c r="B397" s="10" t="s">
        <v>503</v>
      </c>
      <c r="C397" s="10" t="s">
        <v>9</v>
      </c>
      <c r="D397" s="10" t="s">
        <v>26</v>
      </c>
      <c r="E397" s="10" t="s">
        <v>788</v>
      </c>
      <c r="F397" s="10"/>
      <c r="G397" s="11"/>
      <c r="H397" s="11">
        <f t="shared" ref="H397:M397" si="152">H398+H399+H400</f>
        <v>0</v>
      </c>
      <c r="I397" s="11">
        <f t="shared" si="152"/>
        <v>98265.5</v>
      </c>
      <c r="J397" s="52">
        <f t="shared" si="152"/>
        <v>98265.5</v>
      </c>
      <c r="K397" s="52">
        <f t="shared" si="152"/>
        <v>-19394.3</v>
      </c>
      <c r="L397" s="52">
        <f t="shared" si="152"/>
        <v>78871.199999999997</v>
      </c>
      <c r="M397" s="53">
        <f t="shared" si="152"/>
        <v>-200</v>
      </c>
      <c r="N397" s="52">
        <v>78671.199999999997</v>
      </c>
      <c r="O397" s="52">
        <v>78671.199999999997</v>
      </c>
      <c r="P397" s="349">
        <v>78451.399999999994</v>
      </c>
      <c r="Q397" s="257">
        <v>99.72</v>
      </c>
    </row>
    <row r="398" spans="1:17" s="30" customFormat="1" ht="31.5">
      <c r="A398" s="8" t="s">
        <v>361</v>
      </c>
      <c r="B398" s="10" t="s">
        <v>503</v>
      </c>
      <c r="C398" s="10" t="s">
        <v>9</v>
      </c>
      <c r="D398" s="10" t="s">
        <v>26</v>
      </c>
      <c r="E398" s="10" t="s">
        <v>788</v>
      </c>
      <c r="F398" s="10" t="s">
        <v>333</v>
      </c>
      <c r="G398" s="11"/>
      <c r="H398" s="11"/>
      <c r="I398" s="7">
        <v>14756.5</v>
      </c>
      <c r="J398" s="7">
        <f>H398+I398</f>
        <v>14756.5</v>
      </c>
      <c r="K398" s="7">
        <v>-6701.7</v>
      </c>
      <c r="L398" s="7">
        <f>J398+K398</f>
        <v>8054.8</v>
      </c>
      <c r="M398" s="40">
        <v>-2441.6999999999998</v>
      </c>
      <c r="N398" s="7">
        <v>5613.1</v>
      </c>
      <c r="O398" s="7">
        <v>8443.5</v>
      </c>
      <c r="P398" s="349">
        <v>8373.2000000000007</v>
      </c>
      <c r="Q398" s="257">
        <v>99.17</v>
      </c>
    </row>
    <row r="399" spans="1:17" s="30" customFormat="1">
      <c r="A399" s="8" t="s">
        <v>362</v>
      </c>
      <c r="B399" s="10" t="s">
        <v>503</v>
      </c>
      <c r="C399" s="10" t="s">
        <v>9</v>
      </c>
      <c r="D399" s="10" t="s">
        <v>26</v>
      </c>
      <c r="E399" s="10" t="s">
        <v>788</v>
      </c>
      <c r="F399" s="10" t="s">
        <v>334</v>
      </c>
      <c r="G399" s="11"/>
      <c r="H399" s="11"/>
      <c r="I399" s="7">
        <v>83309</v>
      </c>
      <c r="J399" s="7">
        <f>H399+I399</f>
        <v>83309</v>
      </c>
      <c r="K399" s="7">
        <f>-600-287-12883.1</f>
        <v>-13770.1</v>
      </c>
      <c r="L399" s="7">
        <f>J399+K399</f>
        <v>69538.899999999994</v>
      </c>
      <c r="M399" s="40">
        <v>-1006.1</v>
      </c>
      <c r="N399" s="7">
        <v>68532.800000000003</v>
      </c>
      <c r="O399" s="7">
        <v>65702.399999999994</v>
      </c>
      <c r="P399" s="349">
        <v>65552.899999999994</v>
      </c>
      <c r="Q399" s="257">
        <v>99.77</v>
      </c>
    </row>
    <row r="400" spans="1:17" s="30" customFormat="1">
      <c r="A400" s="8" t="s">
        <v>373</v>
      </c>
      <c r="B400" s="10" t="s">
        <v>503</v>
      </c>
      <c r="C400" s="10" t="s">
        <v>9</v>
      </c>
      <c r="D400" s="10" t="s">
        <v>26</v>
      </c>
      <c r="E400" s="10" t="s">
        <v>788</v>
      </c>
      <c r="F400" s="10" t="s">
        <v>372</v>
      </c>
      <c r="G400" s="11"/>
      <c r="H400" s="11"/>
      <c r="I400" s="7">
        <v>200</v>
      </c>
      <c r="J400" s="7">
        <f>H400+I400</f>
        <v>200</v>
      </c>
      <c r="K400" s="7">
        <f>600+477.5</f>
        <v>1077.5</v>
      </c>
      <c r="L400" s="7">
        <f>J400+K400</f>
        <v>1277.5</v>
      </c>
      <c r="M400" s="40">
        <v>3247.8</v>
      </c>
      <c r="N400" s="7">
        <v>4525.3</v>
      </c>
      <c r="O400" s="7">
        <v>4525.3</v>
      </c>
      <c r="P400" s="349">
        <v>4525.3</v>
      </c>
      <c r="Q400" s="257">
        <v>100</v>
      </c>
    </row>
    <row r="401" spans="1:17" s="30" customFormat="1">
      <c r="A401" s="8" t="s">
        <v>311</v>
      </c>
      <c r="B401" s="10" t="s">
        <v>503</v>
      </c>
      <c r="C401" s="10" t="s">
        <v>9</v>
      </c>
      <c r="D401" s="10" t="s">
        <v>26</v>
      </c>
      <c r="E401" s="10" t="s">
        <v>312</v>
      </c>
      <c r="F401" s="10"/>
      <c r="G401" s="11"/>
      <c r="H401" s="11"/>
      <c r="I401" s="7"/>
      <c r="J401" s="7"/>
      <c r="K401" s="7"/>
      <c r="L401" s="7">
        <f>L402</f>
        <v>0</v>
      </c>
      <c r="M401" s="40">
        <f t="shared" ref="M401:M402" si="153">M402</f>
        <v>28.5</v>
      </c>
      <c r="N401" s="7">
        <v>28.5</v>
      </c>
      <c r="O401" s="7">
        <v>28.5</v>
      </c>
      <c r="P401" s="349">
        <v>28.5</v>
      </c>
      <c r="Q401" s="257">
        <v>100</v>
      </c>
    </row>
    <row r="402" spans="1:17" s="30" customFormat="1" ht="47.25">
      <c r="A402" s="33" t="s">
        <v>764</v>
      </c>
      <c r="B402" s="10" t="s">
        <v>503</v>
      </c>
      <c r="C402" s="10" t="s">
        <v>9</v>
      </c>
      <c r="D402" s="10" t="s">
        <v>26</v>
      </c>
      <c r="E402" s="10" t="s">
        <v>763</v>
      </c>
      <c r="F402" s="10"/>
      <c r="G402" s="11"/>
      <c r="H402" s="11"/>
      <c r="I402" s="7"/>
      <c r="J402" s="7"/>
      <c r="K402" s="7"/>
      <c r="L402" s="7">
        <f>L403</f>
        <v>0</v>
      </c>
      <c r="M402" s="40">
        <f t="shared" si="153"/>
        <v>28.5</v>
      </c>
      <c r="N402" s="7">
        <v>28.5</v>
      </c>
      <c r="O402" s="7">
        <v>28.5</v>
      </c>
      <c r="P402" s="349">
        <v>28.5</v>
      </c>
      <c r="Q402" s="257">
        <v>100</v>
      </c>
    </row>
    <row r="403" spans="1:17" s="30" customFormat="1">
      <c r="A403" s="8" t="s">
        <v>367</v>
      </c>
      <c r="B403" s="10" t="s">
        <v>503</v>
      </c>
      <c r="C403" s="10" t="s">
        <v>9</v>
      </c>
      <c r="D403" s="10" t="s">
        <v>26</v>
      </c>
      <c r="E403" s="10" t="s">
        <v>763</v>
      </c>
      <c r="F403" s="10" t="s">
        <v>365</v>
      </c>
      <c r="G403" s="11"/>
      <c r="H403" s="11"/>
      <c r="I403" s="7"/>
      <c r="J403" s="7"/>
      <c r="K403" s="7"/>
      <c r="L403" s="7"/>
      <c r="M403" s="40">
        <v>28.5</v>
      </c>
      <c r="N403" s="7">
        <v>28.5</v>
      </c>
      <c r="O403" s="7">
        <v>28.5</v>
      </c>
      <c r="P403" s="349">
        <v>28.5</v>
      </c>
      <c r="Q403" s="257">
        <v>100</v>
      </c>
    </row>
    <row r="404" spans="1:17" s="30" customFormat="1">
      <c r="A404" s="8" t="s">
        <v>769</v>
      </c>
      <c r="B404" s="10" t="s">
        <v>503</v>
      </c>
      <c r="C404" s="10" t="s">
        <v>9</v>
      </c>
      <c r="D404" s="10" t="s">
        <v>26</v>
      </c>
      <c r="E404" s="10" t="s">
        <v>767</v>
      </c>
      <c r="F404" s="10"/>
      <c r="G404" s="11"/>
      <c r="H404" s="11">
        <f t="shared" ref="H404:M404" si="154">H405+H408</f>
        <v>0</v>
      </c>
      <c r="I404" s="11">
        <f t="shared" si="154"/>
        <v>2282.6999999999998</v>
      </c>
      <c r="J404" s="11">
        <f t="shared" si="154"/>
        <v>2282.6999999999998</v>
      </c>
      <c r="K404" s="11">
        <f t="shared" si="154"/>
        <v>0</v>
      </c>
      <c r="L404" s="11">
        <f t="shared" si="154"/>
        <v>2282.6999999999998</v>
      </c>
      <c r="M404" s="38">
        <f t="shared" si="154"/>
        <v>-56.5</v>
      </c>
      <c r="N404" s="11">
        <v>2226.1999999999998</v>
      </c>
      <c r="O404" s="52">
        <v>2226.1999999999998</v>
      </c>
      <c r="P404" s="349">
        <v>2062.8000000000002</v>
      </c>
      <c r="Q404" s="257">
        <v>92.66</v>
      </c>
    </row>
    <row r="405" spans="1:17" s="30" customFormat="1">
      <c r="A405" s="33" t="s">
        <v>766</v>
      </c>
      <c r="B405" s="10" t="s">
        <v>503</v>
      </c>
      <c r="C405" s="10" t="s">
        <v>9</v>
      </c>
      <c r="D405" s="10" t="s">
        <v>26</v>
      </c>
      <c r="E405" s="10" t="s">
        <v>765</v>
      </c>
      <c r="F405" s="10"/>
      <c r="G405" s="11"/>
      <c r="H405" s="11">
        <f t="shared" ref="H405:M405" si="155">H406+H407</f>
        <v>0</v>
      </c>
      <c r="I405" s="11">
        <f t="shared" si="155"/>
        <v>1682.7</v>
      </c>
      <c r="J405" s="11">
        <f t="shared" si="155"/>
        <v>1682.7</v>
      </c>
      <c r="K405" s="11">
        <f t="shared" si="155"/>
        <v>0</v>
      </c>
      <c r="L405" s="11">
        <f t="shared" si="155"/>
        <v>1682.7</v>
      </c>
      <c r="M405" s="38">
        <f t="shared" si="155"/>
        <v>-56.5</v>
      </c>
      <c r="N405" s="11">
        <v>1626.2</v>
      </c>
      <c r="O405" s="52">
        <v>1626.2</v>
      </c>
      <c r="P405" s="349">
        <v>1462.8</v>
      </c>
      <c r="Q405" s="257">
        <v>89.95</v>
      </c>
    </row>
    <row r="406" spans="1:17" s="30" customFormat="1">
      <c r="A406" s="8" t="s">
        <v>337</v>
      </c>
      <c r="B406" s="10" t="s">
        <v>503</v>
      </c>
      <c r="C406" s="10" t="s">
        <v>9</v>
      </c>
      <c r="D406" s="10" t="s">
        <v>26</v>
      </c>
      <c r="E406" s="10" t="s">
        <v>765</v>
      </c>
      <c r="F406" s="10" t="s">
        <v>347</v>
      </c>
      <c r="G406" s="11"/>
      <c r="H406" s="11"/>
      <c r="I406" s="7">
        <v>840.1</v>
      </c>
      <c r="J406" s="7">
        <f>H406+I406</f>
        <v>840.1</v>
      </c>
      <c r="K406" s="7"/>
      <c r="L406" s="7">
        <f>J406+K406</f>
        <v>840.1</v>
      </c>
      <c r="M406" s="40"/>
      <c r="N406" s="7">
        <v>840.1</v>
      </c>
      <c r="O406" s="7">
        <v>840.1</v>
      </c>
      <c r="P406" s="349">
        <v>686.3</v>
      </c>
      <c r="Q406" s="257">
        <v>81.69</v>
      </c>
    </row>
    <row r="407" spans="1:17" s="30" customFormat="1">
      <c r="A407" s="8" t="s">
        <v>373</v>
      </c>
      <c r="B407" s="10" t="s">
        <v>503</v>
      </c>
      <c r="C407" s="10" t="s">
        <v>9</v>
      </c>
      <c r="D407" s="10" t="s">
        <v>26</v>
      </c>
      <c r="E407" s="10" t="s">
        <v>765</v>
      </c>
      <c r="F407" s="10" t="s">
        <v>372</v>
      </c>
      <c r="G407" s="11"/>
      <c r="H407" s="11"/>
      <c r="I407" s="7">
        <v>842.6</v>
      </c>
      <c r="J407" s="7">
        <f>H407+I407</f>
        <v>842.6</v>
      </c>
      <c r="K407" s="7"/>
      <c r="L407" s="7">
        <f>J407+K407</f>
        <v>842.6</v>
      </c>
      <c r="M407" s="40">
        <v>-56.5</v>
      </c>
      <c r="N407" s="7">
        <v>786.1</v>
      </c>
      <c r="O407" s="7">
        <v>786.1</v>
      </c>
      <c r="P407" s="349">
        <v>776.5</v>
      </c>
      <c r="Q407" s="257">
        <v>98.78</v>
      </c>
    </row>
    <row r="408" spans="1:17" s="30" customFormat="1">
      <c r="A408" s="33" t="s">
        <v>791</v>
      </c>
      <c r="B408" s="10" t="s">
        <v>503</v>
      </c>
      <c r="C408" s="10" t="s">
        <v>9</v>
      </c>
      <c r="D408" s="10" t="s">
        <v>26</v>
      </c>
      <c r="E408" s="10" t="s">
        <v>790</v>
      </c>
      <c r="F408" s="10"/>
      <c r="G408" s="11"/>
      <c r="H408" s="11">
        <f t="shared" ref="H408:M408" si="156">H409</f>
        <v>0</v>
      </c>
      <c r="I408" s="11">
        <f t="shared" si="156"/>
        <v>600</v>
      </c>
      <c r="J408" s="11">
        <f t="shared" si="156"/>
        <v>600</v>
      </c>
      <c r="K408" s="11">
        <f t="shared" si="156"/>
        <v>0</v>
      </c>
      <c r="L408" s="11">
        <f t="shared" si="156"/>
        <v>600</v>
      </c>
      <c r="M408" s="38">
        <f t="shared" si="156"/>
        <v>0</v>
      </c>
      <c r="N408" s="11">
        <v>600</v>
      </c>
      <c r="O408" s="52">
        <v>600</v>
      </c>
      <c r="P408" s="349">
        <v>600</v>
      </c>
      <c r="Q408" s="257">
        <v>100</v>
      </c>
    </row>
    <row r="409" spans="1:17" s="30" customFormat="1">
      <c r="A409" s="9" t="s">
        <v>603</v>
      </c>
      <c r="B409" s="10" t="s">
        <v>503</v>
      </c>
      <c r="C409" s="10" t="s">
        <v>9</v>
      </c>
      <c r="D409" s="10" t="s">
        <v>26</v>
      </c>
      <c r="E409" s="10" t="s">
        <v>790</v>
      </c>
      <c r="F409" s="10" t="s">
        <v>604</v>
      </c>
      <c r="G409" s="11"/>
      <c r="H409" s="11"/>
      <c r="I409" s="7">
        <v>600</v>
      </c>
      <c r="J409" s="7">
        <f>H409+I409</f>
        <v>600</v>
      </c>
      <c r="K409" s="7"/>
      <c r="L409" s="7">
        <f>J409+K409</f>
        <v>600</v>
      </c>
      <c r="M409" s="40"/>
      <c r="N409" s="7">
        <v>600</v>
      </c>
      <c r="O409" s="7">
        <v>600</v>
      </c>
      <c r="P409" s="349">
        <v>600</v>
      </c>
      <c r="Q409" s="257">
        <v>100</v>
      </c>
    </row>
    <row r="410" spans="1:17" s="12" customFormat="1">
      <c r="A410" s="8" t="s">
        <v>17</v>
      </c>
      <c r="B410" s="10" t="s">
        <v>503</v>
      </c>
      <c r="C410" s="10" t="s">
        <v>9</v>
      </c>
      <c r="D410" s="10" t="s">
        <v>26</v>
      </c>
      <c r="E410" s="10" t="s">
        <v>18</v>
      </c>
      <c r="F410" s="10"/>
      <c r="G410" s="11">
        <v>37000</v>
      </c>
      <c r="H410" s="11">
        <v>37000</v>
      </c>
      <c r="I410" s="7">
        <f t="shared" ref="I410:M410" si="157">I411+I421</f>
        <v>3658.8</v>
      </c>
      <c r="J410" s="7">
        <f t="shared" si="157"/>
        <v>40658.800000000003</v>
      </c>
      <c r="K410" s="7">
        <f t="shared" si="157"/>
        <v>-9128</v>
      </c>
      <c r="L410" s="7">
        <f t="shared" si="157"/>
        <v>31530.799999999999</v>
      </c>
      <c r="M410" s="40">
        <f t="shared" si="157"/>
        <v>0</v>
      </c>
      <c r="N410" s="7">
        <v>31530.799999999999</v>
      </c>
      <c r="O410" s="7">
        <v>31530.799999999999</v>
      </c>
      <c r="P410" s="349">
        <v>31365.4</v>
      </c>
      <c r="Q410" s="257">
        <v>99.48</v>
      </c>
    </row>
    <row r="411" spans="1:17" s="12" customFormat="1" ht="31.5">
      <c r="A411" s="8" t="s">
        <v>666</v>
      </c>
      <c r="B411" s="10" t="s">
        <v>503</v>
      </c>
      <c r="C411" s="10" t="s">
        <v>9</v>
      </c>
      <c r="D411" s="10" t="s">
        <v>26</v>
      </c>
      <c r="E411" s="10" t="s">
        <v>82</v>
      </c>
      <c r="F411" s="10"/>
      <c r="G411" s="11">
        <v>37000</v>
      </c>
      <c r="H411" s="11">
        <v>37000</v>
      </c>
      <c r="I411" s="7">
        <f t="shared" ref="I411:M411" si="158">I412+I415</f>
        <v>900</v>
      </c>
      <c r="J411" s="7">
        <f t="shared" si="158"/>
        <v>37900</v>
      </c>
      <c r="K411" s="7">
        <f t="shared" si="158"/>
        <v>-8962</v>
      </c>
      <c r="L411" s="7">
        <f t="shared" si="158"/>
        <v>28938</v>
      </c>
      <c r="M411" s="40">
        <f t="shared" si="158"/>
        <v>0</v>
      </c>
      <c r="N411" s="7">
        <v>28938</v>
      </c>
      <c r="O411" s="7">
        <v>28938</v>
      </c>
      <c r="P411" s="349">
        <v>28772.6</v>
      </c>
      <c r="Q411" s="257">
        <v>99.43</v>
      </c>
    </row>
    <row r="412" spans="1:17" s="12" customFormat="1">
      <c r="A412" s="8" t="s">
        <v>647</v>
      </c>
      <c r="B412" s="10" t="s">
        <v>503</v>
      </c>
      <c r="C412" s="10" t="s">
        <v>9</v>
      </c>
      <c r="D412" s="10" t="s">
        <v>26</v>
      </c>
      <c r="E412" s="10" t="s">
        <v>746</v>
      </c>
      <c r="F412" s="10"/>
      <c r="G412" s="11">
        <v>15500</v>
      </c>
      <c r="H412" s="11">
        <v>15500</v>
      </c>
      <c r="I412" s="7">
        <f t="shared" ref="I412:M412" si="159">I413+I414</f>
        <v>900</v>
      </c>
      <c r="J412" s="7">
        <f t="shared" si="159"/>
        <v>16400</v>
      </c>
      <c r="K412" s="7">
        <f t="shared" si="159"/>
        <v>3500.9</v>
      </c>
      <c r="L412" s="7">
        <f t="shared" si="159"/>
        <v>19900.900000000001</v>
      </c>
      <c r="M412" s="40">
        <f t="shared" si="159"/>
        <v>0</v>
      </c>
      <c r="N412" s="7">
        <v>19900.900000000001</v>
      </c>
      <c r="O412" s="7">
        <v>19900.900000000001</v>
      </c>
      <c r="P412" s="349">
        <v>19900.900000000001</v>
      </c>
      <c r="Q412" s="257">
        <v>100</v>
      </c>
    </row>
    <row r="413" spans="1:17" s="12" customFormat="1" ht="47.25">
      <c r="A413" s="8" t="s">
        <v>360</v>
      </c>
      <c r="B413" s="10" t="s">
        <v>503</v>
      </c>
      <c r="C413" s="10" t="s">
        <v>9</v>
      </c>
      <c r="D413" s="10" t="s">
        <v>26</v>
      </c>
      <c r="E413" s="10" t="s">
        <v>746</v>
      </c>
      <c r="F413" s="10" t="s">
        <v>359</v>
      </c>
      <c r="G413" s="11">
        <v>15490</v>
      </c>
      <c r="H413" s="11">
        <v>15490</v>
      </c>
      <c r="I413" s="7">
        <v>900</v>
      </c>
      <c r="J413" s="7">
        <f>H413+I413</f>
        <v>16390</v>
      </c>
      <c r="K413" s="7">
        <f>-35+3840+360.2-734.3</f>
        <v>3430.9</v>
      </c>
      <c r="L413" s="7">
        <f>J413+K413</f>
        <v>19820.900000000001</v>
      </c>
      <c r="M413" s="40"/>
      <c r="N413" s="7">
        <v>19820.900000000001</v>
      </c>
      <c r="O413" s="7">
        <v>19820.900000000001</v>
      </c>
      <c r="P413" s="349">
        <v>19820.900000000001</v>
      </c>
      <c r="Q413" s="257">
        <v>100</v>
      </c>
    </row>
    <row r="414" spans="1:17" s="12" customFormat="1">
      <c r="A414" s="8" t="s">
        <v>373</v>
      </c>
      <c r="B414" s="10" t="s">
        <v>503</v>
      </c>
      <c r="C414" s="10" t="s">
        <v>9</v>
      </c>
      <c r="D414" s="10" t="s">
        <v>26</v>
      </c>
      <c r="E414" s="10" t="s">
        <v>746</v>
      </c>
      <c r="F414" s="10" t="s">
        <v>372</v>
      </c>
      <c r="G414" s="11">
        <v>10</v>
      </c>
      <c r="H414" s="11">
        <v>10</v>
      </c>
      <c r="I414" s="7"/>
      <c r="J414" s="7">
        <f>H414+I414</f>
        <v>10</v>
      </c>
      <c r="K414" s="7">
        <f>35+35</f>
        <v>70</v>
      </c>
      <c r="L414" s="7">
        <f>J414+K414</f>
        <v>80</v>
      </c>
      <c r="M414" s="40"/>
      <c r="N414" s="7">
        <v>80</v>
      </c>
      <c r="O414" s="7">
        <v>80</v>
      </c>
      <c r="P414" s="349">
        <v>80</v>
      </c>
      <c r="Q414" s="257">
        <v>100</v>
      </c>
    </row>
    <row r="415" spans="1:17" s="12" customFormat="1" ht="31.5">
      <c r="A415" s="8" t="s">
        <v>743</v>
      </c>
      <c r="B415" s="10" t="s">
        <v>503</v>
      </c>
      <c r="C415" s="10" t="s">
        <v>9</v>
      </c>
      <c r="D415" s="10" t="s">
        <v>26</v>
      </c>
      <c r="E415" s="10" t="s">
        <v>742</v>
      </c>
      <c r="F415" s="10"/>
      <c r="G415" s="11">
        <v>21500</v>
      </c>
      <c r="H415" s="11">
        <v>21500</v>
      </c>
      <c r="I415" s="7">
        <f>I416+I417+I418+I419</f>
        <v>0</v>
      </c>
      <c r="J415" s="7">
        <f t="shared" ref="J415:M415" si="160">J416+J417+J418+J419+J420</f>
        <v>21500</v>
      </c>
      <c r="K415" s="7">
        <f t="shared" si="160"/>
        <v>-12462.9</v>
      </c>
      <c r="L415" s="7">
        <f t="shared" si="160"/>
        <v>9037.1</v>
      </c>
      <c r="M415" s="40">
        <f t="shared" si="160"/>
        <v>0</v>
      </c>
      <c r="N415" s="7">
        <v>9037.1</v>
      </c>
      <c r="O415" s="7">
        <v>9037.1</v>
      </c>
      <c r="P415" s="349">
        <v>8871.7000000000007</v>
      </c>
      <c r="Q415" s="257">
        <v>98.17</v>
      </c>
    </row>
    <row r="416" spans="1:17" s="12" customFormat="1">
      <c r="A416" s="8" t="s">
        <v>383</v>
      </c>
      <c r="B416" s="10" t="s">
        <v>503</v>
      </c>
      <c r="C416" s="10" t="s">
        <v>9</v>
      </c>
      <c r="D416" s="10" t="s">
        <v>26</v>
      </c>
      <c r="E416" s="10" t="s">
        <v>742</v>
      </c>
      <c r="F416" s="10" t="s">
        <v>332</v>
      </c>
      <c r="G416" s="11">
        <v>270</v>
      </c>
      <c r="H416" s="31">
        <v>270</v>
      </c>
      <c r="I416" s="7"/>
      <c r="J416" s="7">
        <f>H416+I416</f>
        <v>270</v>
      </c>
      <c r="K416" s="7">
        <v>-198.8</v>
      </c>
      <c r="L416" s="7">
        <f>J416+K416</f>
        <v>71.2</v>
      </c>
      <c r="M416" s="40">
        <f>-67.2-0.1</f>
        <v>-67.3</v>
      </c>
      <c r="N416" s="7">
        <v>3.9</v>
      </c>
      <c r="O416" s="7">
        <v>3.9</v>
      </c>
      <c r="P416" s="349">
        <v>3.9</v>
      </c>
      <c r="Q416" s="257">
        <v>100</v>
      </c>
    </row>
    <row r="417" spans="1:17" s="12" customFormat="1" ht="31.5">
      <c r="A417" s="8" t="s">
        <v>361</v>
      </c>
      <c r="B417" s="10" t="s">
        <v>503</v>
      </c>
      <c r="C417" s="10" t="s">
        <v>9</v>
      </c>
      <c r="D417" s="10" t="s">
        <v>26</v>
      </c>
      <c r="E417" s="10" t="s">
        <v>742</v>
      </c>
      <c r="F417" s="10" t="s">
        <v>333</v>
      </c>
      <c r="G417" s="11">
        <v>16145</v>
      </c>
      <c r="H417" s="31">
        <v>16145</v>
      </c>
      <c r="I417" s="7">
        <v>332.8</v>
      </c>
      <c r="J417" s="7">
        <f>H417+I417</f>
        <v>16477.8</v>
      </c>
      <c r="K417" s="7">
        <f>-12645.7-1124.4</f>
        <v>-13770.1</v>
      </c>
      <c r="L417" s="7">
        <f>J417+K417</f>
        <v>2707.7</v>
      </c>
      <c r="M417" s="40">
        <f>-941.3+744</f>
        <v>-197.3</v>
      </c>
      <c r="N417" s="7">
        <v>2510.4</v>
      </c>
      <c r="O417" s="7">
        <v>2510.4</v>
      </c>
      <c r="P417" s="349">
        <v>2492.4</v>
      </c>
      <c r="Q417" s="257">
        <v>99.28</v>
      </c>
    </row>
    <row r="418" spans="1:17" s="12" customFormat="1">
      <c r="A418" s="8" t="s">
        <v>362</v>
      </c>
      <c r="B418" s="10" t="s">
        <v>503</v>
      </c>
      <c r="C418" s="10" t="s">
        <v>9</v>
      </c>
      <c r="D418" s="10" t="s">
        <v>26</v>
      </c>
      <c r="E418" s="10" t="s">
        <v>742</v>
      </c>
      <c r="F418" s="10" t="s">
        <v>334</v>
      </c>
      <c r="G418" s="11">
        <v>4735</v>
      </c>
      <c r="H418" s="31">
        <v>4735</v>
      </c>
      <c r="I418" s="7">
        <v>-332.8</v>
      </c>
      <c r="J418" s="7">
        <f>H418+I418</f>
        <v>4402.2</v>
      </c>
      <c r="K418" s="7">
        <f>307.2+198.8</f>
        <v>506</v>
      </c>
      <c r="L418" s="7">
        <f>J418+K418</f>
        <v>4908.2</v>
      </c>
      <c r="M418" s="40">
        <f>1108.6-1720</f>
        <v>-611.4</v>
      </c>
      <c r="N418" s="7">
        <v>4296.8</v>
      </c>
      <c r="O418" s="7">
        <v>4296.8</v>
      </c>
      <c r="P418" s="349">
        <v>4149.3999999999996</v>
      </c>
      <c r="Q418" s="257">
        <v>96.57</v>
      </c>
    </row>
    <row r="419" spans="1:17" s="12" customFormat="1">
      <c r="A419" s="8" t="s">
        <v>603</v>
      </c>
      <c r="B419" s="10" t="s">
        <v>503</v>
      </c>
      <c r="C419" s="10" t="s">
        <v>9</v>
      </c>
      <c r="D419" s="10" t="s">
        <v>26</v>
      </c>
      <c r="E419" s="10" t="s">
        <v>742</v>
      </c>
      <c r="F419" s="10" t="s">
        <v>604</v>
      </c>
      <c r="G419" s="11">
        <v>350</v>
      </c>
      <c r="H419" s="31">
        <v>350</v>
      </c>
      <c r="I419" s="7"/>
      <c r="J419" s="7">
        <f>H419+I419</f>
        <v>350</v>
      </c>
      <c r="K419" s="7"/>
      <c r="L419" s="7">
        <f>J419+K419</f>
        <v>350</v>
      </c>
      <c r="M419" s="40">
        <v>-100</v>
      </c>
      <c r="N419" s="7">
        <v>250</v>
      </c>
      <c r="O419" s="7">
        <v>250</v>
      </c>
      <c r="P419" s="349">
        <v>250</v>
      </c>
      <c r="Q419" s="257">
        <v>100</v>
      </c>
    </row>
    <row r="420" spans="1:17" s="12" customFormat="1">
      <c r="A420" s="8" t="s">
        <v>373</v>
      </c>
      <c r="B420" s="10" t="s">
        <v>503</v>
      </c>
      <c r="C420" s="10" t="s">
        <v>9</v>
      </c>
      <c r="D420" s="10" t="s">
        <v>26</v>
      </c>
      <c r="E420" s="10" t="s">
        <v>742</v>
      </c>
      <c r="F420" s="10" t="s">
        <v>372</v>
      </c>
      <c r="G420" s="11"/>
      <c r="H420" s="31"/>
      <c r="I420" s="7"/>
      <c r="J420" s="7"/>
      <c r="K420" s="7">
        <v>1000</v>
      </c>
      <c r="L420" s="7">
        <f>J420+K420</f>
        <v>1000</v>
      </c>
      <c r="M420" s="40">
        <v>976</v>
      </c>
      <c r="N420" s="7">
        <v>1976</v>
      </c>
      <c r="O420" s="7">
        <v>1976</v>
      </c>
      <c r="P420" s="349">
        <v>1976</v>
      </c>
      <c r="Q420" s="257">
        <v>100</v>
      </c>
    </row>
    <row r="421" spans="1:17" s="12" customFormat="1">
      <c r="A421" s="8" t="s">
        <v>1009</v>
      </c>
      <c r="B421" s="10" t="s">
        <v>503</v>
      </c>
      <c r="C421" s="10" t="s">
        <v>9</v>
      </c>
      <c r="D421" s="10" t="s">
        <v>26</v>
      </c>
      <c r="E421" s="10" t="s">
        <v>66</v>
      </c>
      <c r="F421" s="10"/>
      <c r="G421" s="11"/>
      <c r="H421" s="31">
        <f>H422</f>
        <v>0</v>
      </c>
      <c r="I421" s="31">
        <f>I422</f>
        <v>2758.8</v>
      </c>
      <c r="J421" s="31">
        <f t="shared" ref="J421:M421" si="161">J422+J423</f>
        <v>2758.8</v>
      </c>
      <c r="K421" s="31">
        <f t="shared" si="161"/>
        <v>-166</v>
      </c>
      <c r="L421" s="31">
        <f t="shared" si="161"/>
        <v>2592.8000000000002</v>
      </c>
      <c r="M421" s="39">
        <f t="shared" si="161"/>
        <v>0</v>
      </c>
      <c r="N421" s="31">
        <v>2592.8000000000002</v>
      </c>
      <c r="O421" s="36">
        <v>2592.8000000000002</v>
      </c>
      <c r="P421" s="350">
        <v>2592.8000000000002</v>
      </c>
      <c r="Q421" s="257">
        <v>100</v>
      </c>
    </row>
    <row r="422" spans="1:17" s="12" customFormat="1">
      <c r="A422" s="8" t="s">
        <v>362</v>
      </c>
      <c r="B422" s="10" t="s">
        <v>503</v>
      </c>
      <c r="C422" s="10" t="s">
        <v>9</v>
      </c>
      <c r="D422" s="10" t="s">
        <v>26</v>
      </c>
      <c r="E422" s="10" t="s">
        <v>66</v>
      </c>
      <c r="F422" s="10" t="s">
        <v>334</v>
      </c>
      <c r="G422" s="11"/>
      <c r="H422" s="31"/>
      <c r="I422" s="7">
        <v>2758.8</v>
      </c>
      <c r="J422" s="7">
        <f>H422+I422</f>
        <v>2758.8</v>
      </c>
      <c r="K422" s="7">
        <v>-236</v>
      </c>
      <c r="L422" s="7">
        <f>J422+K422</f>
        <v>2522.8000000000002</v>
      </c>
      <c r="M422" s="40"/>
      <c r="N422" s="7">
        <v>2522.8000000000002</v>
      </c>
      <c r="O422" s="7">
        <v>2522.8000000000002</v>
      </c>
      <c r="P422" s="349">
        <v>2522.8000000000002</v>
      </c>
      <c r="Q422" s="257">
        <v>100</v>
      </c>
    </row>
    <row r="423" spans="1:17" s="12" customFormat="1">
      <c r="A423" s="8" t="s">
        <v>367</v>
      </c>
      <c r="B423" s="10" t="s">
        <v>503</v>
      </c>
      <c r="C423" s="10" t="s">
        <v>9</v>
      </c>
      <c r="D423" s="10" t="s">
        <v>26</v>
      </c>
      <c r="E423" s="10" t="s">
        <v>66</v>
      </c>
      <c r="F423" s="10" t="s">
        <v>365</v>
      </c>
      <c r="G423" s="11"/>
      <c r="H423" s="31"/>
      <c r="I423" s="7"/>
      <c r="J423" s="7"/>
      <c r="K423" s="7">
        <v>70</v>
      </c>
      <c r="L423" s="7">
        <f>J423+K423</f>
        <v>70</v>
      </c>
      <c r="M423" s="40"/>
      <c r="N423" s="7">
        <v>70</v>
      </c>
      <c r="O423" s="7">
        <v>70</v>
      </c>
      <c r="P423" s="349">
        <v>70</v>
      </c>
      <c r="Q423" s="257">
        <v>100</v>
      </c>
    </row>
    <row r="424" spans="1:17" s="12" customFormat="1">
      <c r="A424" s="8" t="s">
        <v>363</v>
      </c>
      <c r="B424" s="10" t="s">
        <v>503</v>
      </c>
      <c r="C424" s="10" t="s">
        <v>9</v>
      </c>
      <c r="D424" s="10" t="s">
        <v>26</v>
      </c>
      <c r="E424" s="10" t="s">
        <v>364</v>
      </c>
      <c r="F424" s="10"/>
      <c r="G424" s="11">
        <v>-7830.6</v>
      </c>
      <c r="H424" s="11">
        <v>274334.40000000002</v>
      </c>
      <c r="I424" s="7" t="e">
        <f>I425+I430+I433+I445+#REF!</f>
        <v>#REF!</v>
      </c>
      <c r="J424" s="7" t="e">
        <f>J425+J430+J433+J445</f>
        <v>#REF!</v>
      </c>
      <c r="K424" s="7" t="e">
        <f>K425+K430+K433+K445</f>
        <v>#REF!</v>
      </c>
      <c r="L424" s="7" t="e">
        <f>L425+L430+L433+L445</f>
        <v>#REF!</v>
      </c>
      <c r="M424" s="40" t="e">
        <f>M425+M430+M433+M445</f>
        <v>#REF!</v>
      </c>
      <c r="N424" s="7">
        <v>308599.59999999998</v>
      </c>
      <c r="O424" s="7">
        <v>308599.59999999998</v>
      </c>
      <c r="P424" s="349">
        <v>308331.90000000002</v>
      </c>
      <c r="Q424" s="257">
        <v>99.91</v>
      </c>
    </row>
    <row r="425" spans="1:17" s="12" customFormat="1" ht="31.5">
      <c r="A425" s="8" t="s">
        <v>726</v>
      </c>
      <c r="B425" s="10" t="s">
        <v>503</v>
      </c>
      <c r="C425" s="10" t="s">
        <v>9</v>
      </c>
      <c r="D425" s="10" t="s">
        <v>26</v>
      </c>
      <c r="E425" s="10" t="s">
        <v>650</v>
      </c>
      <c r="F425" s="10"/>
      <c r="G425" s="11">
        <v>22786.1</v>
      </c>
      <c r="H425" s="11">
        <v>22786.1</v>
      </c>
      <c r="I425" s="7">
        <f t="shared" ref="I425:M425" si="162">I426+I427+I428+I429</f>
        <v>0</v>
      </c>
      <c r="J425" s="7">
        <f t="shared" si="162"/>
        <v>22786.1</v>
      </c>
      <c r="K425" s="7">
        <f t="shared" si="162"/>
        <v>1572.3</v>
      </c>
      <c r="L425" s="7">
        <f t="shared" si="162"/>
        <v>24358.400000000001</v>
      </c>
      <c r="M425" s="40">
        <f t="shared" si="162"/>
        <v>132.1</v>
      </c>
      <c r="N425" s="7">
        <v>24490.5</v>
      </c>
      <c r="O425" s="7">
        <v>24490.5</v>
      </c>
      <c r="P425" s="349">
        <v>24478.3</v>
      </c>
      <c r="Q425" s="257">
        <v>99.95</v>
      </c>
    </row>
    <row r="426" spans="1:17" s="12" customFormat="1" ht="47.25">
      <c r="A426" s="8" t="s">
        <v>360</v>
      </c>
      <c r="B426" s="10" t="s">
        <v>503</v>
      </c>
      <c r="C426" s="10" t="s">
        <v>9</v>
      </c>
      <c r="D426" s="10" t="s">
        <v>26</v>
      </c>
      <c r="E426" s="10" t="s">
        <v>650</v>
      </c>
      <c r="F426" s="10" t="s">
        <v>359</v>
      </c>
      <c r="G426" s="11">
        <v>11751</v>
      </c>
      <c r="H426" s="31">
        <v>11751</v>
      </c>
      <c r="I426" s="7">
        <v>399.1</v>
      </c>
      <c r="J426" s="7">
        <f>H426+I426</f>
        <v>12150.1</v>
      </c>
      <c r="K426" s="7">
        <f>-45.4+681.1+6.8+33.3+448.5</f>
        <v>1124.3</v>
      </c>
      <c r="L426" s="7">
        <f>J426+K426</f>
        <v>13274.4</v>
      </c>
      <c r="M426" s="40">
        <f>74+0.1</f>
        <v>74.099999999999994</v>
      </c>
      <c r="N426" s="7">
        <v>13348.5</v>
      </c>
      <c r="O426" s="7">
        <v>13348.5</v>
      </c>
      <c r="P426" s="349">
        <v>13348.5</v>
      </c>
      <c r="Q426" s="257">
        <v>100</v>
      </c>
    </row>
    <row r="427" spans="1:17" s="12" customFormat="1">
      <c r="A427" s="8" t="s">
        <v>373</v>
      </c>
      <c r="B427" s="10" t="s">
        <v>503</v>
      </c>
      <c r="C427" s="10" t="s">
        <v>9</v>
      </c>
      <c r="D427" s="10" t="s">
        <v>26</v>
      </c>
      <c r="E427" s="10" t="s">
        <v>650</v>
      </c>
      <c r="F427" s="10" t="s">
        <v>372</v>
      </c>
      <c r="G427" s="11">
        <v>131</v>
      </c>
      <c r="H427" s="31">
        <v>131</v>
      </c>
      <c r="I427" s="7"/>
      <c r="J427" s="7">
        <f>H427+I427</f>
        <v>131</v>
      </c>
      <c r="K427" s="7"/>
      <c r="L427" s="7">
        <f>J427+K427</f>
        <v>131</v>
      </c>
      <c r="M427" s="40">
        <v>9.6</v>
      </c>
      <c r="N427" s="7">
        <v>140.6</v>
      </c>
      <c r="O427" s="7">
        <v>140.6</v>
      </c>
      <c r="P427" s="349">
        <v>140.5</v>
      </c>
      <c r="Q427" s="257">
        <v>99.93</v>
      </c>
    </row>
    <row r="428" spans="1:17" s="12" customFormat="1" ht="47.25">
      <c r="A428" s="8" t="s">
        <v>366</v>
      </c>
      <c r="B428" s="10" t="s">
        <v>503</v>
      </c>
      <c r="C428" s="10" t="s">
        <v>9</v>
      </c>
      <c r="D428" s="10" t="s">
        <v>26</v>
      </c>
      <c r="E428" s="10" t="s">
        <v>650</v>
      </c>
      <c r="F428" s="10" t="s">
        <v>355</v>
      </c>
      <c r="G428" s="11">
        <v>10386.799999999999</v>
      </c>
      <c r="H428" s="31">
        <v>10386.799999999999</v>
      </c>
      <c r="I428" s="7">
        <v>-399.1</v>
      </c>
      <c r="J428" s="7">
        <f>H428+I428</f>
        <v>9987.7000000000007</v>
      </c>
      <c r="K428" s="7">
        <f>272.7+16.6+158.7</f>
        <v>448</v>
      </c>
      <c r="L428" s="7">
        <f>J428+K428</f>
        <v>10435.700000000001</v>
      </c>
      <c r="M428" s="40">
        <v>58</v>
      </c>
      <c r="N428" s="7">
        <v>10493.7</v>
      </c>
      <c r="O428" s="7">
        <v>10493.7</v>
      </c>
      <c r="P428" s="349">
        <v>10493.7</v>
      </c>
      <c r="Q428" s="257">
        <v>100</v>
      </c>
    </row>
    <row r="429" spans="1:17" s="12" customFormat="1">
      <c r="A429" s="8" t="s">
        <v>367</v>
      </c>
      <c r="B429" s="10" t="s">
        <v>503</v>
      </c>
      <c r="C429" s="10" t="s">
        <v>9</v>
      </c>
      <c r="D429" s="10" t="s">
        <v>26</v>
      </c>
      <c r="E429" s="10" t="s">
        <v>650</v>
      </c>
      <c r="F429" s="10" t="s">
        <v>365</v>
      </c>
      <c r="G429" s="11">
        <v>517.29999999999995</v>
      </c>
      <c r="H429" s="31">
        <v>517.29999999999995</v>
      </c>
      <c r="I429" s="7"/>
      <c r="J429" s="7">
        <f>H429+I429</f>
        <v>517.29999999999995</v>
      </c>
      <c r="K429" s="7"/>
      <c r="L429" s="7">
        <f>J429+K429</f>
        <v>517.29999999999995</v>
      </c>
      <c r="M429" s="40">
        <v>-9.6</v>
      </c>
      <c r="N429" s="7">
        <v>507.7</v>
      </c>
      <c r="O429" s="7">
        <v>507.7</v>
      </c>
      <c r="P429" s="349">
        <v>495.6</v>
      </c>
      <c r="Q429" s="257">
        <v>97.62</v>
      </c>
    </row>
    <row r="430" spans="1:17" s="12" customFormat="1" ht="63">
      <c r="A430" s="8" t="s">
        <v>750</v>
      </c>
      <c r="B430" s="10" t="s">
        <v>503</v>
      </c>
      <c r="C430" s="10" t="s">
        <v>9</v>
      </c>
      <c r="D430" s="10" t="s">
        <v>26</v>
      </c>
      <c r="E430" s="10" t="s">
        <v>749</v>
      </c>
      <c r="F430" s="10"/>
      <c r="G430" s="11">
        <v>3242.7</v>
      </c>
      <c r="H430" s="11">
        <v>3242.7</v>
      </c>
      <c r="I430" s="7" t="e">
        <f>#REF!+I432</f>
        <v>#REF!</v>
      </c>
      <c r="J430" s="7" t="e">
        <f>#REF!+J432</f>
        <v>#REF!</v>
      </c>
      <c r="K430" s="7" t="e">
        <f>#REF!+K432+K431</f>
        <v>#REF!</v>
      </c>
      <c r="L430" s="7" t="e">
        <f>#REF!+L432+L431</f>
        <v>#REF!</v>
      </c>
      <c r="M430" s="40" t="e">
        <f>#REF!+M432+M431</f>
        <v>#REF!</v>
      </c>
      <c r="N430" s="7">
        <v>3368</v>
      </c>
      <c r="O430" s="7">
        <v>3368</v>
      </c>
      <c r="P430" s="349">
        <v>3366.7</v>
      </c>
      <c r="Q430" s="257">
        <v>99.96</v>
      </c>
    </row>
    <row r="431" spans="1:17" s="12" customFormat="1">
      <c r="A431" s="8" t="s">
        <v>362</v>
      </c>
      <c r="B431" s="10" t="s">
        <v>503</v>
      </c>
      <c r="C431" s="10" t="s">
        <v>9</v>
      </c>
      <c r="D431" s="10" t="s">
        <v>26</v>
      </c>
      <c r="E431" s="10" t="s">
        <v>749</v>
      </c>
      <c r="F431" s="10" t="s">
        <v>334</v>
      </c>
      <c r="G431" s="11"/>
      <c r="H431" s="11"/>
      <c r="I431" s="7"/>
      <c r="J431" s="7"/>
      <c r="K431" s="7">
        <f>1734.4+42.4</f>
        <v>1776.8</v>
      </c>
      <c r="L431" s="7">
        <f>J431+K431</f>
        <v>1776.8</v>
      </c>
      <c r="M431" s="40">
        <v>155.30000000000001</v>
      </c>
      <c r="N431" s="7">
        <v>1932.1</v>
      </c>
      <c r="O431" s="7">
        <v>1932.1</v>
      </c>
      <c r="P431" s="349">
        <v>1931.5</v>
      </c>
      <c r="Q431" s="257">
        <v>99.97</v>
      </c>
    </row>
    <row r="432" spans="1:17" s="12" customFormat="1">
      <c r="A432" s="8" t="s">
        <v>648</v>
      </c>
      <c r="B432" s="10" t="s">
        <v>503</v>
      </c>
      <c r="C432" s="10" t="s">
        <v>9</v>
      </c>
      <c r="D432" s="10" t="s">
        <v>26</v>
      </c>
      <c r="E432" s="10" t="s">
        <v>749</v>
      </c>
      <c r="F432" s="10" t="s">
        <v>649</v>
      </c>
      <c r="G432" s="11">
        <v>3200.3</v>
      </c>
      <c r="H432" s="31">
        <v>3200.3</v>
      </c>
      <c r="I432" s="7"/>
      <c r="J432" s="7">
        <f>H432+I432</f>
        <v>3200.3</v>
      </c>
      <c r="K432" s="7">
        <v>-1734.4</v>
      </c>
      <c r="L432" s="7">
        <f>J432+K432</f>
        <v>1465.9</v>
      </c>
      <c r="M432" s="40">
        <v>-30</v>
      </c>
      <c r="N432" s="7">
        <v>1435.9</v>
      </c>
      <c r="O432" s="7">
        <v>1435.9</v>
      </c>
      <c r="P432" s="349">
        <v>1435.2</v>
      </c>
      <c r="Q432" s="257">
        <v>99.95</v>
      </c>
    </row>
    <row r="433" spans="1:17" s="12" customFormat="1" ht="47.25">
      <c r="A433" s="8" t="s">
        <v>727</v>
      </c>
      <c r="B433" s="10" t="s">
        <v>503</v>
      </c>
      <c r="C433" s="10" t="s">
        <v>9</v>
      </c>
      <c r="D433" s="10" t="s">
        <v>26</v>
      </c>
      <c r="E433" s="10" t="s">
        <v>388</v>
      </c>
      <c r="F433" s="10"/>
      <c r="G433" s="11">
        <v>-17610.099999999999</v>
      </c>
      <c r="H433" s="11">
        <v>223543.3</v>
      </c>
      <c r="I433" s="7" t="e">
        <f>I434+I435+I436+I438+#REF!+I440+I441+I443+I444+I437+I442+I439</f>
        <v>#REF!</v>
      </c>
      <c r="J433" s="7">
        <f t="shared" ref="J433:M433" si="163">J434+J435+J436+J438+J440+J441+J443+J444+J437+J442+J439</f>
        <v>224143.3</v>
      </c>
      <c r="K433" s="7">
        <f t="shared" si="163"/>
        <v>32082.6</v>
      </c>
      <c r="L433" s="7">
        <f t="shared" si="163"/>
        <v>256225.9</v>
      </c>
      <c r="M433" s="40">
        <f t="shared" si="163"/>
        <v>-509.1</v>
      </c>
      <c r="N433" s="7">
        <v>255716.8</v>
      </c>
      <c r="O433" s="7">
        <v>255716.8</v>
      </c>
      <c r="P433" s="349">
        <v>255462.6</v>
      </c>
      <c r="Q433" s="257">
        <v>99.9</v>
      </c>
    </row>
    <row r="434" spans="1:17" s="12" customFormat="1">
      <c r="A434" s="8" t="s">
        <v>337</v>
      </c>
      <c r="B434" s="10" t="s">
        <v>503</v>
      </c>
      <c r="C434" s="10" t="s">
        <v>9</v>
      </c>
      <c r="D434" s="10" t="s">
        <v>26</v>
      </c>
      <c r="E434" s="10" t="s">
        <v>388</v>
      </c>
      <c r="F434" s="10" t="s">
        <v>347</v>
      </c>
      <c r="G434" s="11">
        <v>-13480</v>
      </c>
      <c r="H434" s="31">
        <v>86607.4</v>
      </c>
      <c r="I434" s="7"/>
      <c r="J434" s="7">
        <f t="shared" ref="J434:J444" si="164">H434+I434</f>
        <v>86607.4</v>
      </c>
      <c r="K434" s="7">
        <f>-1016+19477.5+163.4</f>
        <v>18624.900000000001</v>
      </c>
      <c r="L434" s="7">
        <f t="shared" ref="L434:L444" si="165">J434+K434</f>
        <v>105232.3</v>
      </c>
      <c r="M434" s="40">
        <f>-60-621.6-0.1</f>
        <v>-681.7</v>
      </c>
      <c r="N434" s="7">
        <v>104550.6</v>
      </c>
      <c r="O434" s="7">
        <v>104550.6</v>
      </c>
      <c r="P434" s="349">
        <v>104338.6</v>
      </c>
      <c r="Q434" s="257">
        <v>99.8</v>
      </c>
    </row>
    <row r="435" spans="1:17" s="12" customFormat="1">
      <c r="A435" s="8" t="s">
        <v>356</v>
      </c>
      <c r="B435" s="10" t="s">
        <v>503</v>
      </c>
      <c r="C435" s="10" t="s">
        <v>9</v>
      </c>
      <c r="D435" s="10" t="s">
        <v>26</v>
      </c>
      <c r="E435" s="10" t="s">
        <v>388</v>
      </c>
      <c r="F435" s="10" t="s">
        <v>348</v>
      </c>
      <c r="G435" s="11">
        <v>158.4</v>
      </c>
      <c r="H435" s="31">
        <v>450</v>
      </c>
      <c r="I435" s="7"/>
      <c r="J435" s="7">
        <f t="shared" si="164"/>
        <v>450</v>
      </c>
      <c r="K435" s="7"/>
      <c r="L435" s="7">
        <f t="shared" si="165"/>
        <v>450</v>
      </c>
      <c r="M435" s="40">
        <v>-24.6</v>
      </c>
      <c r="N435" s="7">
        <v>425.4</v>
      </c>
      <c r="O435" s="7">
        <v>425.4</v>
      </c>
      <c r="P435" s="349">
        <v>422.2</v>
      </c>
      <c r="Q435" s="257">
        <v>99.25</v>
      </c>
    </row>
    <row r="436" spans="1:17" s="12" customFormat="1" ht="31.5">
      <c r="A436" s="8" t="s">
        <v>361</v>
      </c>
      <c r="B436" s="10" t="s">
        <v>503</v>
      </c>
      <c r="C436" s="10" t="s">
        <v>9</v>
      </c>
      <c r="D436" s="10" t="s">
        <v>26</v>
      </c>
      <c r="E436" s="10" t="s">
        <v>388</v>
      </c>
      <c r="F436" s="10" t="s">
        <v>333</v>
      </c>
      <c r="G436" s="11">
        <v>850</v>
      </c>
      <c r="H436" s="31">
        <v>850</v>
      </c>
      <c r="I436" s="7"/>
      <c r="J436" s="7">
        <f t="shared" si="164"/>
        <v>850</v>
      </c>
      <c r="K436" s="7">
        <v>96</v>
      </c>
      <c r="L436" s="7">
        <f t="shared" si="165"/>
        <v>946</v>
      </c>
      <c r="M436" s="40">
        <f>-15-11+81</f>
        <v>55</v>
      </c>
      <c r="N436" s="7">
        <v>1001</v>
      </c>
      <c r="O436" s="7">
        <v>1001</v>
      </c>
      <c r="P436" s="349">
        <v>1000.2</v>
      </c>
      <c r="Q436" s="257">
        <v>99.92</v>
      </c>
    </row>
    <row r="437" spans="1:17" s="12" customFormat="1" ht="31.5">
      <c r="A437" s="8" t="s">
        <v>421</v>
      </c>
      <c r="B437" s="10" t="s">
        <v>503</v>
      </c>
      <c r="C437" s="10" t="s">
        <v>9</v>
      </c>
      <c r="D437" s="10" t="s">
        <v>26</v>
      </c>
      <c r="E437" s="10" t="s">
        <v>388</v>
      </c>
      <c r="F437" s="10" t="s">
        <v>420</v>
      </c>
      <c r="G437" s="11"/>
      <c r="H437" s="31"/>
      <c r="I437" s="7">
        <v>1500</v>
      </c>
      <c r="J437" s="7">
        <f t="shared" si="164"/>
        <v>1500</v>
      </c>
      <c r="K437" s="7">
        <v>1800</v>
      </c>
      <c r="L437" s="7">
        <f t="shared" si="165"/>
        <v>3300</v>
      </c>
      <c r="M437" s="40">
        <v>127.3</v>
      </c>
      <c r="N437" s="7">
        <v>3427.3</v>
      </c>
      <c r="O437" s="7">
        <v>3427.3</v>
      </c>
      <c r="P437" s="349">
        <v>3427.3</v>
      </c>
      <c r="Q437" s="257">
        <v>100</v>
      </c>
    </row>
    <row r="438" spans="1:17" s="12" customFormat="1">
      <c r="A438" s="8" t="s">
        <v>362</v>
      </c>
      <c r="B438" s="10" t="s">
        <v>503</v>
      </c>
      <c r="C438" s="10" t="s">
        <v>9</v>
      </c>
      <c r="D438" s="10" t="s">
        <v>26</v>
      </c>
      <c r="E438" s="10" t="s">
        <v>388</v>
      </c>
      <c r="F438" s="10" t="s">
        <v>334</v>
      </c>
      <c r="G438" s="11">
        <v>-539.79999999999995</v>
      </c>
      <c r="H438" s="31">
        <v>56375.8</v>
      </c>
      <c r="I438" s="7">
        <f>-1500-2+100+500</f>
        <v>-902</v>
      </c>
      <c r="J438" s="7">
        <f t="shared" si="164"/>
        <v>55473.8</v>
      </c>
      <c r="K438" s="7">
        <f>15-124.3-408.4</f>
        <v>-517.70000000000005</v>
      </c>
      <c r="L438" s="7">
        <f t="shared" si="165"/>
        <v>54956.1</v>
      </c>
      <c r="M438" s="40">
        <f>-70.4-39.1+0.1</f>
        <v>-109.4</v>
      </c>
      <c r="N438" s="7">
        <v>54846.7</v>
      </c>
      <c r="O438" s="7">
        <v>54846.7</v>
      </c>
      <c r="P438" s="349">
        <v>54846.6</v>
      </c>
      <c r="Q438" s="257">
        <v>100</v>
      </c>
    </row>
    <row r="439" spans="1:17" s="12" customFormat="1" ht="31.5">
      <c r="A439" s="8" t="s">
        <v>594</v>
      </c>
      <c r="B439" s="10" t="s">
        <v>503</v>
      </c>
      <c r="C439" s="10" t="s">
        <v>9</v>
      </c>
      <c r="D439" s="10" t="s">
        <v>26</v>
      </c>
      <c r="E439" s="10" t="s">
        <v>388</v>
      </c>
      <c r="F439" s="10" t="s">
        <v>368</v>
      </c>
      <c r="G439" s="11"/>
      <c r="H439" s="31"/>
      <c r="I439" s="7">
        <v>187.2</v>
      </c>
      <c r="J439" s="7">
        <f>H439+I439</f>
        <v>187.2</v>
      </c>
      <c r="K439" s="7"/>
      <c r="L439" s="7">
        <f t="shared" si="165"/>
        <v>187.2</v>
      </c>
      <c r="M439" s="40">
        <v>0.2</v>
      </c>
      <c r="N439" s="7">
        <v>187.4</v>
      </c>
      <c r="O439" s="7">
        <v>187.4</v>
      </c>
      <c r="P439" s="349">
        <v>187.4</v>
      </c>
      <c r="Q439" s="257">
        <v>100</v>
      </c>
    </row>
    <row r="440" spans="1:17" s="12" customFormat="1" ht="47.25">
      <c r="A440" s="8" t="s">
        <v>360</v>
      </c>
      <c r="B440" s="10" t="s">
        <v>503</v>
      </c>
      <c r="C440" s="10" t="s">
        <v>9</v>
      </c>
      <c r="D440" s="10" t="s">
        <v>26</v>
      </c>
      <c r="E440" s="10" t="s">
        <v>388</v>
      </c>
      <c r="F440" s="10" t="s">
        <v>359</v>
      </c>
      <c r="G440" s="11">
        <v>-5508.7</v>
      </c>
      <c r="H440" s="31">
        <v>77223.100000000006</v>
      </c>
      <c r="I440" s="7"/>
      <c r="J440" s="7">
        <f t="shared" si="164"/>
        <v>77223.100000000006</v>
      </c>
      <c r="K440" s="7">
        <f>-288+12234.4-35.6</f>
        <v>11910.8</v>
      </c>
      <c r="L440" s="7">
        <f t="shared" si="165"/>
        <v>89133.9</v>
      </c>
      <c r="M440" s="40">
        <f>52+54</f>
        <v>106</v>
      </c>
      <c r="N440" s="7">
        <v>89239.9</v>
      </c>
      <c r="O440" s="7">
        <v>89239.9</v>
      </c>
      <c r="P440" s="349">
        <v>89239.9</v>
      </c>
      <c r="Q440" s="257">
        <v>100</v>
      </c>
    </row>
    <row r="441" spans="1:17" s="12" customFormat="1">
      <c r="A441" s="8" t="s">
        <v>373</v>
      </c>
      <c r="B441" s="10" t="s">
        <v>503</v>
      </c>
      <c r="C441" s="10" t="s">
        <v>9</v>
      </c>
      <c r="D441" s="10" t="s">
        <v>26</v>
      </c>
      <c r="E441" s="10" t="s">
        <v>388</v>
      </c>
      <c r="F441" s="10" t="s">
        <v>372</v>
      </c>
      <c r="G441" s="11">
        <v>572</v>
      </c>
      <c r="H441" s="31">
        <v>898.1</v>
      </c>
      <c r="I441" s="7"/>
      <c r="J441" s="7">
        <f t="shared" si="164"/>
        <v>898.1</v>
      </c>
      <c r="K441" s="7"/>
      <c r="L441" s="7">
        <f t="shared" si="165"/>
        <v>898.1</v>
      </c>
      <c r="M441" s="40"/>
      <c r="N441" s="7">
        <v>898.1</v>
      </c>
      <c r="O441" s="7">
        <v>898.1</v>
      </c>
      <c r="P441" s="349">
        <v>898.1</v>
      </c>
      <c r="Q441" s="257">
        <v>100</v>
      </c>
    </row>
    <row r="442" spans="1:17" s="12" customFormat="1" ht="78.75">
      <c r="A442" s="8" t="s">
        <v>428</v>
      </c>
      <c r="B442" s="10" t="s">
        <v>503</v>
      </c>
      <c r="C442" s="10" t="s">
        <v>9</v>
      </c>
      <c r="D442" s="10" t="s">
        <v>26</v>
      </c>
      <c r="E442" s="10" t="s">
        <v>388</v>
      </c>
      <c r="F442" s="10" t="s">
        <v>427</v>
      </c>
      <c r="G442" s="11"/>
      <c r="H442" s="31"/>
      <c r="I442" s="7">
        <v>2</v>
      </c>
      <c r="J442" s="7">
        <f t="shared" si="164"/>
        <v>2</v>
      </c>
      <c r="K442" s="7"/>
      <c r="L442" s="7">
        <f t="shared" si="165"/>
        <v>2</v>
      </c>
      <c r="M442" s="40">
        <v>18.100000000000001</v>
      </c>
      <c r="N442" s="7">
        <v>20.100000000000001</v>
      </c>
      <c r="O442" s="7">
        <v>20.100000000000001</v>
      </c>
      <c r="P442" s="349">
        <v>20.100000000000001</v>
      </c>
      <c r="Q442" s="257">
        <v>100</v>
      </c>
    </row>
    <row r="443" spans="1:17" s="12" customFormat="1">
      <c r="A443" s="8" t="s">
        <v>384</v>
      </c>
      <c r="B443" s="10" t="s">
        <v>503</v>
      </c>
      <c r="C443" s="10" t="s">
        <v>9</v>
      </c>
      <c r="D443" s="10" t="s">
        <v>26</v>
      </c>
      <c r="E443" s="10" t="s">
        <v>388</v>
      </c>
      <c r="F443" s="10" t="s">
        <v>335</v>
      </c>
      <c r="G443" s="11">
        <v>270.3</v>
      </c>
      <c r="H443" s="31">
        <v>841.7</v>
      </c>
      <c r="I443" s="7"/>
      <c r="J443" s="7">
        <f t="shared" si="164"/>
        <v>841.7</v>
      </c>
      <c r="K443" s="7">
        <v>156.6</v>
      </c>
      <c r="L443" s="7">
        <f t="shared" si="165"/>
        <v>998.3</v>
      </c>
      <c r="M443" s="40"/>
      <c r="N443" s="7">
        <v>998.3</v>
      </c>
      <c r="O443" s="7">
        <v>998.3</v>
      </c>
      <c r="P443" s="349">
        <v>998.2</v>
      </c>
      <c r="Q443" s="257">
        <v>99.99</v>
      </c>
    </row>
    <row r="444" spans="1:17" s="12" customFormat="1">
      <c r="A444" s="8" t="s">
        <v>380</v>
      </c>
      <c r="B444" s="10" t="s">
        <v>503</v>
      </c>
      <c r="C444" s="10" t="s">
        <v>9</v>
      </c>
      <c r="D444" s="10" t="s">
        <v>26</v>
      </c>
      <c r="E444" s="10" t="s">
        <v>388</v>
      </c>
      <c r="F444" s="10" t="s">
        <v>336</v>
      </c>
      <c r="G444" s="11">
        <v>71</v>
      </c>
      <c r="H444" s="31">
        <v>110</v>
      </c>
      <c r="I444" s="7"/>
      <c r="J444" s="7">
        <f t="shared" si="164"/>
        <v>110</v>
      </c>
      <c r="K444" s="7">
        <v>12</v>
      </c>
      <c r="L444" s="7">
        <f t="shared" si="165"/>
        <v>122</v>
      </c>
      <c r="M444" s="40"/>
      <c r="N444" s="7">
        <v>122</v>
      </c>
      <c r="O444" s="7">
        <v>122</v>
      </c>
      <c r="P444" s="349">
        <v>84</v>
      </c>
      <c r="Q444" s="257">
        <v>68.849999999999994</v>
      </c>
    </row>
    <row r="445" spans="1:17" s="12" customFormat="1" ht="31.5">
      <c r="A445" s="8" t="s">
        <v>728</v>
      </c>
      <c r="B445" s="10" t="s">
        <v>503</v>
      </c>
      <c r="C445" s="10" t="s">
        <v>9</v>
      </c>
      <c r="D445" s="10" t="s">
        <v>26</v>
      </c>
      <c r="E445" s="10" t="s">
        <v>390</v>
      </c>
      <c r="F445" s="10"/>
      <c r="G445" s="11">
        <v>-18708.099999999999</v>
      </c>
      <c r="H445" s="11">
        <v>22303.5</v>
      </c>
      <c r="I445" s="7" t="e">
        <f>#REF!+#REF!+I446+I447</f>
        <v>#REF!</v>
      </c>
      <c r="J445" s="7">
        <f t="shared" ref="J445:M445" si="166">J446+J447</f>
        <v>22317.9</v>
      </c>
      <c r="K445" s="7">
        <f t="shared" si="166"/>
        <v>1221.7</v>
      </c>
      <c r="L445" s="7">
        <f t="shared" si="166"/>
        <v>23539.599999999999</v>
      </c>
      <c r="M445" s="40">
        <f t="shared" si="166"/>
        <v>1484.7</v>
      </c>
      <c r="N445" s="7">
        <v>25024.3</v>
      </c>
      <c r="O445" s="7">
        <v>25024.3</v>
      </c>
      <c r="P445" s="349">
        <v>25024.3</v>
      </c>
      <c r="Q445" s="257">
        <v>100</v>
      </c>
    </row>
    <row r="446" spans="1:17" s="12" customFormat="1" ht="47.25">
      <c r="A446" s="8" t="s">
        <v>366</v>
      </c>
      <c r="B446" s="10" t="s">
        <v>503</v>
      </c>
      <c r="C446" s="10" t="s">
        <v>9</v>
      </c>
      <c r="D446" s="10" t="s">
        <v>26</v>
      </c>
      <c r="E446" s="10" t="s">
        <v>390</v>
      </c>
      <c r="F446" s="10" t="s">
        <v>355</v>
      </c>
      <c r="G446" s="11">
        <v>-4324.8999999999996</v>
      </c>
      <c r="H446" s="31">
        <v>21863.5</v>
      </c>
      <c r="I446" s="7">
        <v>14.4</v>
      </c>
      <c r="J446" s="7">
        <f>H446+I446</f>
        <v>21877.9</v>
      </c>
      <c r="K446" s="7">
        <f>692.8+83.2+50+395.7</f>
        <v>1221.7</v>
      </c>
      <c r="L446" s="7">
        <f>J446+K446</f>
        <v>23099.599999999999</v>
      </c>
      <c r="M446" s="40">
        <f>1230.9+105+148.8</f>
        <v>1484.7</v>
      </c>
      <c r="N446" s="7">
        <v>24584.3</v>
      </c>
      <c r="O446" s="7">
        <v>24584.3</v>
      </c>
      <c r="P446" s="349">
        <v>24584.3</v>
      </c>
      <c r="Q446" s="257">
        <v>100</v>
      </c>
    </row>
    <row r="447" spans="1:17" s="12" customFormat="1">
      <c r="A447" s="8" t="s">
        <v>367</v>
      </c>
      <c r="B447" s="10" t="s">
        <v>503</v>
      </c>
      <c r="C447" s="10" t="s">
        <v>9</v>
      </c>
      <c r="D447" s="10" t="s">
        <v>26</v>
      </c>
      <c r="E447" s="10" t="s">
        <v>390</v>
      </c>
      <c r="F447" s="10" t="s">
        <v>365</v>
      </c>
      <c r="G447" s="11">
        <v>-403.7</v>
      </c>
      <c r="H447" s="31">
        <v>440</v>
      </c>
      <c r="I447" s="7"/>
      <c r="J447" s="7">
        <f>H447+I447</f>
        <v>440</v>
      </c>
      <c r="K447" s="7"/>
      <c r="L447" s="7">
        <f>J447+K447</f>
        <v>440</v>
      </c>
      <c r="M447" s="40"/>
      <c r="N447" s="7">
        <v>440</v>
      </c>
      <c r="O447" s="7">
        <v>440</v>
      </c>
      <c r="P447" s="349">
        <v>440</v>
      </c>
      <c r="Q447" s="257">
        <v>100</v>
      </c>
    </row>
    <row r="448" spans="1:17" s="30" customFormat="1">
      <c r="A448" s="26" t="s">
        <v>74</v>
      </c>
      <c r="B448" s="27" t="s">
        <v>503</v>
      </c>
      <c r="C448" s="27" t="s">
        <v>9</v>
      </c>
      <c r="D448" s="27" t="s">
        <v>28</v>
      </c>
      <c r="E448" s="27"/>
      <c r="F448" s="27"/>
      <c r="G448" s="28">
        <v>6769.4</v>
      </c>
      <c r="H448" s="28">
        <v>94184.9</v>
      </c>
      <c r="I448" s="29" t="e">
        <f>I449+I454+#REF!</f>
        <v>#REF!</v>
      </c>
      <c r="J448" s="29" t="e">
        <f>J449+J454+#REF!</f>
        <v>#REF!</v>
      </c>
      <c r="K448" s="29" t="e">
        <f>K449+K454+#REF!+#REF!</f>
        <v>#REF!</v>
      </c>
      <c r="L448" s="29" t="e">
        <f>L449+L454+#REF!+#REF!</f>
        <v>#REF!</v>
      </c>
      <c r="M448" s="51" t="e">
        <f>M449+M454+#REF!+#REF!</f>
        <v>#REF!</v>
      </c>
      <c r="N448" s="29">
        <v>94071.7</v>
      </c>
      <c r="O448" s="29">
        <v>94071.7</v>
      </c>
      <c r="P448" s="348">
        <v>93660.4</v>
      </c>
      <c r="Q448" s="256">
        <v>99.56</v>
      </c>
    </row>
    <row r="449" spans="1:17" s="12" customFormat="1">
      <c r="A449" s="8" t="s">
        <v>17</v>
      </c>
      <c r="B449" s="10" t="s">
        <v>503</v>
      </c>
      <c r="C449" s="10" t="s">
        <v>9</v>
      </c>
      <c r="D449" s="10" t="s">
        <v>28</v>
      </c>
      <c r="E449" s="10" t="s">
        <v>18</v>
      </c>
      <c r="F449" s="10"/>
      <c r="G449" s="11">
        <v>1888.4</v>
      </c>
      <c r="H449" s="11">
        <v>3000</v>
      </c>
      <c r="I449" s="7">
        <f t="shared" ref="I449:M450" si="167">I450</f>
        <v>0</v>
      </c>
      <c r="J449" s="7">
        <f t="shared" ref="J449:M449" si="168">J450+J452</f>
        <v>3000</v>
      </c>
      <c r="K449" s="7">
        <f t="shared" si="168"/>
        <v>23.4</v>
      </c>
      <c r="L449" s="7">
        <f t="shared" si="168"/>
        <v>3023.4</v>
      </c>
      <c r="M449" s="40">
        <f t="shared" si="168"/>
        <v>0</v>
      </c>
      <c r="N449" s="7">
        <v>3023.4</v>
      </c>
      <c r="O449" s="7">
        <v>3023.4</v>
      </c>
      <c r="P449" s="349">
        <v>3023.4</v>
      </c>
      <c r="Q449" s="257">
        <v>100</v>
      </c>
    </row>
    <row r="450" spans="1:17" s="12" customFormat="1" ht="31.5">
      <c r="A450" s="8" t="s">
        <v>527</v>
      </c>
      <c r="B450" s="10" t="s">
        <v>503</v>
      </c>
      <c r="C450" s="10" t="s">
        <v>9</v>
      </c>
      <c r="D450" s="10" t="s">
        <v>28</v>
      </c>
      <c r="E450" s="10" t="s">
        <v>229</v>
      </c>
      <c r="F450" s="10"/>
      <c r="G450" s="11">
        <v>3000</v>
      </c>
      <c r="H450" s="11">
        <v>3000</v>
      </c>
      <c r="I450" s="7">
        <f t="shared" si="167"/>
        <v>0</v>
      </c>
      <c r="J450" s="7">
        <f t="shared" si="167"/>
        <v>3000</v>
      </c>
      <c r="K450" s="7">
        <f t="shared" si="167"/>
        <v>0</v>
      </c>
      <c r="L450" s="7">
        <f t="shared" si="167"/>
        <v>3000</v>
      </c>
      <c r="M450" s="40">
        <f t="shared" si="167"/>
        <v>0</v>
      </c>
      <c r="N450" s="7">
        <v>3000</v>
      </c>
      <c r="O450" s="7">
        <v>3000</v>
      </c>
      <c r="P450" s="349">
        <v>3000</v>
      </c>
      <c r="Q450" s="257">
        <v>100</v>
      </c>
    </row>
    <row r="451" spans="1:17" s="12" customFormat="1" ht="31.5">
      <c r="A451" s="8" t="s">
        <v>691</v>
      </c>
      <c r="B451" s="10" t="s">
        <v>503</v>
      </c>
      <c r="C451" s="10" t="s">
        <v>9</v>
      </c>
      <c r="D451" s="10" t="s">
        <v>28</v>
      </c>
      <c r="E451" s="10" t="s">
        <v>229</v>
      </c>
      <c r="F451" s="10" t="s">
        <v>690</v>
      </c>
      <c r="G451" s="11">
        <v>3000</v>
      </c>
      <c r="H451" s="11">
        <v>3000</v>
      </c>
      <c r="I451" s="7"/>
      <c r="J451" s="7">
        <f>H451+I451</f>
        <v>3000</v>
      </c>
      <c r="K451" s="7"/>
      <c r="L451" s="7">
        <f>J451+K451</f>
        <v>3000</v>
      </c>
      <c r="M451" s="40"/>
      <c r="N451" s="7">
        <v>3000</v>
      </c>
      <c r="O451" s="7">
        <v>3000</v>
      </c>
      <c r="P451" s="349">
        <v>3000</v>
      </c>
      <c r="Q451" s="257">
        <v>100</v>
      </c>
    </row>
    <row r="452" spans="1:17" s="12" customFormat="1">
      <c r="A452" s="8" t="s">
        <v>1009</v>
      </c>
      <c r="B452" s="10" t="s">
        <v>503</v>
      </c>
      <c r="C452" s="10" t="s">
        <v>9</v>
      </c>
      <c r="D452" s="10" t="s">
        <v>28</v>
      </c>
      <c r="E452" s="10" t="s">
        <v>66</v>
      </c>
      <c r="F452" s="10"/>
      <c r="G452" s="11"/>
      <c r="H452" s="11"/>
      <c r="I452" s="7"/>
      <c r="J452" s="7">
        <f t="shared" ref="J452:M452" si="169">J453</f>
        <v>0</v>
      </c>
      <c r="K452" s="7">
        <f t="shared" si="169"/>
        <v>23.4</v>
      </c>
      <c r="L452" s="7">
        <f t="shared" si="169"/>
        <v>23.4</v>
      </c>
      <c r="M452" s="40">
        <f t="shared" si="169"/>
        <v>0</v>
      </c>
      <c r="N452" s="7">
        <v>23.4</v>
      </c>
      <c r="O452" s="7">
        <v>23.4</v>
      </c>
      <c r="P452" s="349">
        <v>23.4</v>
      </c>
      <c r="Q452" s="257">
        <v>100</v>
      </c>
    </row>
    <row r="453" spans="1:17" s="12" customFormat="1">
      <c r="A453" s="8" t="s">
        <v>367</v>
      </c>
      <c r="B453" s="10" t="s">
        <v>503</v>
      </c>
      <c r="C453" s="10" t="s">
        <v>9</v>
      </c>
      <c r="D453" s="10" t="s">
        <v>28</v>
      </c>
      <c r="E453" s="10" t="s">
        <v>66</v>
      </c>
      <c r="F453" s="10" t="s">
        <v>365</v>
      </c>
      <c r="G453" s="11"/>
      <c r="H453" s="11"/>
      <c r="I453" s="7"/>
      <c r="J453" s="7"/>
      <c r="K453" s="7">
        <v>23.4</v>
      </c>
      <c r="L453" s="7">
        <f>J453+K453</f>
        <v>23.4</v>
      </c>
      <c r="M453" s="40"/>
      <c r="N453" s="7">
        <v>23.4</v>
      </c>
      <c r="O453" s="7">
        <v>23.4</v>
      </c>
      <c r="P453" s="349">
        <v>23.4</v>
      </c>
      <c r="Q453" s="257">
        <v>100</v>
      </c>
    </row>
    <row r="454" spans="1:17" s="12" customFormat="1">
      <c r="A454" s="8" t="s">
        <v>363</v>
      </c>
      <c r="B454" s="10" t="s">
        <v>503</v>
      </c>
      <c r="C454" s="10" t="s">
        <v>9</v>
      </c>
      <c r="D454" s="10" t="s">
        <v>28</v>
      </c>
      <c r="E454" s="10" t="s">
        <v>364</v>
      </c>
      <c r="F454" s="10"/>
      <c r="G454" s="11">
        <v>2529.8000000000002</v>
      </c>
      <c r="H454" s="11">
        <v>88833.7</v>
      </c>
      <c r="I454" s="7">
        <f t="shared" ref="I454:M454" si="170">I455+I458</f>
        <v>-215.2</v>
      </c>
      <c r="J454" s="7">
        <f t="shared" si="170"/>
        <v>88618.5</v>
      </c>
      <c r="K454" s="7">
        <f t="shared" si="170"/>
        <v>2738.4</v>
      </c>
      <c r="L454" s="7">
        <f t="shared" si="170"/>
        <v>91356.9</v>
      </c>
      <c r="M454" s="40">
        <f t="shared" si="170"/>
        <v>-308.60000000000002</v>
      </c>
      <c r="N454" s="7">
        <v>91048.3</v>
      </c>
      <c r="O454" s="7">
        <v>91048.3</v>
      </c>
      <c r="P454" s="349">
        <v>90637</v>
      </c>
      <c r="Q454" s="257">
        <v>99.55</v>
      </c>
    </row>
    <row r="455" spans="1:17" s="12" customFormat="1" ht="63">
      <c r="A455" s="8" t="s">
        <v>750</v>
      </c>
      <c r="B455" s="10" t="s">
        <v>503</v>
      </c>
      <c r="C455" s="10" t="s">
        <v>9</v>
      </c>
      <c r="D455" s="10" t="s">
        <v>28</v>
      </c>
      <c r="E455" s="10" t="s">
        <v>749</v>
      </c>
      <c r="F455" s="10"/>
      <c r="G455" s="11">
        <v>3032.8</v>
      </c>
      <c r="H455" s="11">
        <v>3032.8</v>
      </c>
      <c r="I455" s="7">
        <f t="shared" ref="I455:M455" si="171">I456+I457</f>
        <v>-215.2</v>
      </c>
      <c r="J455" s="7">
        <f t="shared" si="171"/>
        <v>2817.6</v>
      </c>
      <c r="K455" s="7">
        <f t="shared" si="171"/>
        <v>-120</v>
      </c>
      <c r="L455" s="7">
        <f t="shared" si="171"/>
        <v>2697.6</v>
      </c>
      <c r="M455" s="40">
        <f t="shared" si="171"/>
        <v>-291.3</v>
      </c>
      <c r="N455" s="7">
        <v>2406.3000000000002</v>
      </c>
      <c r="O455" s="7">
        <v>2406.3000000000002</v>
      </c>
      <c r="P455" s="349">
        <v>1995</v>
      </c>
      <c r="Q455" s="257">
        <v>82.91</v>
      </c>
    </row>
    <row r="456" spans="1:17" s="12" customFormat="1" ht="31.5">
      <c r="A456" s="8" t="s">
        <v>389</v>
      </c>
      <c r="B456" s="10" t="s">
        <v>503</v>
      </c>
      <c r="C456" s="10" t="s">
        <v>9</v>
      </c>
      <c r="D456" s="10" t="s">
        <v>28</v>
      </c>
      <c r="E456" s="10" t="s">
        <v>749</v>
      </c>
      <c r="F456" s="10" t="s">
        <v>369</v>
      </c>
      <c r="G456" s="11">
        <v>2118.6999999999998</v>
      </c>
      <c r="H456" s="11">
        <v>2118.6999999999998</v>
      </c>
      <c r="I456" s="7"/>
      <c r="J456" s="7">
        <f>H456+I456</f>
        <v>2118.6999999999998</v>
      </c>
      <c r="K456" s="7">
        <f>-60-105.4</f>
        <v>-165.4</v>
      </c>
      <c r="L456" s="7">
        <f>J456+K456</f>
        <v>1953.3</v>
      </c>
      <c r="M456" s="40">
        <v>-105.3</v>
      </c>
      <c r="N456" s="7">
        <v>1848</v>
      </c>
      <c r="O456" s="7">
        <v>1848</v>
      </c>
      <c r="P456" s="349">
        <v>1436.7</v>
      </c>
      <c r="Q456" s="257">
        <v>77.739999999999995</v>
      </c>
    </row>
    <row r="457" spans="1:17" s="12" customFormat="1">
      <c r="A457" s="8" t="s">
        <v>367</v>
      </c>
      <c r="B457" s="10" t="s">
        <v>503</v>
      </c>
      <c r="C457" s="10" t="s">
        <v>9</v>
      </c>
      <c r="D457" s="10" t="s">
        <v>28</v>
      </c>
      <c r="E457" s="10" t="s">
        <v>749</v>
      </c>
      <c r="F457" s="10" t="s">
        <v>365</v>
      </c>
      <c r="G457" s="11">
        <v>914.1</v>
      </c>
      <c r="H457" s="11">
        <v>914.1</v>
      </c>
      <c r="I457" s="7">
        <v>-215.2</v>
      </c>
      <c r="J457" s="7">
        <f>H457+I457</f>
        <v>698.9</v>
      </c>
      <c r="K457" s="7">
        <v>45.4</v>
      </c>
      <c r="L457" s="7">
        <f>J457+K457</f>
        <v>744.3</v>
      </c>
      <c r="M457" s="40">
        <v>-186</v>
      </c>
      <c r="N457" s="7">
        <v>558.29999999999995</v>
      </c>
      <c r="O457" s="7">
        <v>558.29999999999995</v>
      </c>
      <c r="P457" s="349">
        <v>558.29999999999995</v>
      </c>
      <c r="Q457" s="257">
        <v>100</v>
      </c>
    </row>
    <row r="458" spans="1:17" s="12" customFormat="1" ht="31.5">
      <c r="A458" s="8" t="s">
        <v>730</v>
      </c>
      <c r="B458" s="10" t="s">
        <v>503</v>
      </c>
      <c r="C458" s="10" t="s">
        <v>9</v>
      </c>
      <c r="D458" s="10" t="s">
        <v>28</v>
      </c>
      <c r="E458" s="10" t="s">
        <v>391</v>
      </c>
      <c r="F458" s="10"/>
      <c r="G458" s="11">
        <v>-503</v>
      </c>
      <c r="H458" s="11">
        <v>85800.9</v>
      </c>
      <c r="I458" s="7">
        <f t="shared" ref="I458:M458" si="172">I459+I460</f>
        <v>0</v>
      </c>
      <c r="J458" s="7">
        <f t="shared" si="172"/>
        <v>85800.9</v>
      </c>
      <c r="K458" s="7">
        <f t="shared" si="172"/>
        <v>2858.4</v>
      </c>
      <c r="L458" s="7">
        <f t="shared" si="172"/>
        <v>88659.3</v>
      </c>
      <c r="M458" s="40">
        <f t="shared" si="172"/>
        <v>-17.3</v>
      </c>
      <c r="N458" s="7">
        <v>88642</v>
      </c>
      <c r="O458" s="7">
        <v>88642</v>
      </c>
      <c r="P458" s="349">
        <v>88642</v>
      </c>
      <c r="Q458" s="257">
        <v>100</v>
      </c>
    </row>
    <row r="459" spans="1:17" s="12" customFormat="1" ht="47.25">
      <c r="A459" s="8" t="s">
        <v>366</v>
      </c>
      <c r="B459" s="10" t="s">
        <v>503</v>
      </c>
      <c r="C459" s="10" t="s">
        <v>9</v>
      </c>
      <c r="D459" s="10" t="s">
        <v>28</v>
      </c>
      <c r="E459" s="10" t="s">
        <v>391</v>
      </c>
      <c r="F459" s="10" t="s">
        <v>355</v>
      </c>
      <c r="G459" s="11">
        <v>-1629.4</v>
      </c>
      <c r="H459" s="31">
        <v>69117.399999999994</v>
      </c>
      <c r="I459" s="7"/>
      <c r="J459" s="7">
        <f>H459+I459</f>
        <v>69117.399999999994</v>
      </c>
      <c r="K459" s="7">
        <f>-166.6+2008.8+23.6+290.3+99.3+50</f>
        <v>2305.4</v>
      </c>
      <c r="L459" s="7">
        <f>J459+K459</f>
        <v>71422.8</v>
      </c>
      <c r="M459" s="40">
        <v>431.7</v>
      </c>
      <c r="N459" s="7">
        <v>71854.5</v>
      </c>
      <c r="O459" s="7">
        <v>71854.5</v>
      </c>
      <c r="P459" s="349">
        <v>71854.5</v>
      </c>
      <c r="Q459" s="257">
        <v>100</v>
      </c>
    </row>
    <row r="460" spans="1:17" s="12" customFormat="1">
      <c r="A460" s="8" t="s">
        <v>367</v>
      </c>
      <c r="B460" s="10" t="s">
        <v>503</v>
      </c>
      <c r="C460" s="10" t="s">
        <v>9</v>
      </c>
      <c r="D460" s="10" t="s">
        <v>28</v>
      </c>
      <c r="E460" s="10" t="s">
        <v>391</v>
      </c>
      <c r="F460" s="10" t="s">
        <v>365</v>
      </c>
      <c r="G460" s="11">
        <v>1126.4000000000001</v>
      </c>
      <c r="H460" s="31">
        <v>16683.5</v>
      </c>
      <c r="I460" s="7"/>
      <c r="J460" s="7">
        <f>H460+I460</f>
        <v>16683.5</v>
      </c>
      <c r="K460" s="7">
        <v>553</v>
      </c>
      <c r="L460" s="7">
        <f>J460+K460</f>
        <v>17236.5</v>
      </c>
      <c r="M460" s="40">
        <v>-449</v>
      </c>
      <c r="N460" s="7">
        <v>16787.5</v>
      </c>
      <c r="O460" s="7">
        <v>16787.5</v>
      </c>
      <c r="P460" s="349">
        <v>16787.5</v>
      </c>
      <c r="Q460" s="257">
        <v>100</v>
      </c>
    </row>
    <row r="461" spans="1:17" s="30" customFormat="1">
      <c r="A461" s="26" t="s">
        <v>10</v>
      </c>
      <c r="B461" s="27" t="s">
        <v>503</v>
      </c>
      <c r="C461" s="27" t="s">
        <v>9</v>
      </c>
      <c r="D461" s="27" t="s">
        <v>11</v>
      </c>
      <c r="E461" s="27"/>
      <c r="F461" s="27"/>
      <c r="G461" s="28">
        <v>-14682.9</v>
      </c>
      <c r="H461" s="28">
        <v>187003.2</v>
      </c>
      <c r="I461" s="29" t="e">
        <f>#REF!+I470+#REF!</f>
        <v>#REF!</v>
      </c>
      <c r="J461" s="29" t="e">
        <f>J470+#REF!+J465+J462+J467</f>
        <v>#REF!</v>
      </c>
      <c r="K461" s="29" t="e">
        <f>K470+#REF!+K465+K462+K467</f>
        <v>#REF!</v>
      </c>
      <c r="L461" s="29" t="e">
        <f>L470+#REF!+L465+L462+L467</f>
        <v>#REF!</v>
      </c>
      <c r="M461" s="51" t="e">
        <f>M470+#REF!+M465+M462+M467</f>
        <v>#REF!</v>
      </c>
      <c r="N461" s="29">
        <v>188063.9</v>
      </c>
      <c r="O461" s="29">
        <v>188159.9</v>
      </c>
      <c r="P461" s="348">
        <v>187712.1</v>
      </c>
      <c r="Q461" s="256">
        <v>99.76</v>
      </c>
    </row>
    <row r="462" spans="1:17" s="30" customFormat="1" ht="31.5">
      <c r="A462" s="8" t="s">
        <v>922</v>
      </c>
      <c r="B462" s="10" t="s">
        <v>503</v>
      </c>
      <c r="C462" s="10" t="s">
        <v>9</v>
      </c>
      <c r="D462" s="10" t="s">
        <v>11</v>
      </c>
      <c r="E462" s="10" t="s">
        <v>921</v>
      </c>
      <c r="F462" s="10"/>
      <c r="G462" s="11"/>
      <c r="H462" s="11"/>
      <c r="I462" s="7"/>
      <c r="J462" s="7">
        <f t="shared" ref="J462:M463" si="173">J463</f>
        <v>0</v>
      </c>
      <c r="K462" s="7">
        <f t="shared" si="173"/>
        <v>120</v>
      </c>
      <c r="L462" s="7">
        <f t="shared" si="173"/>
        <v>120</v>
      </c>
      <c r="M462" s="40">
        <f t="shared" si="173"/>
        <v>0</v>
      </c>
      <c r="N462" s="7">
        <v>120</v>
      </c>
      <c r="O462" s="7">
        <v>120</v>
      </c>
      <c r="P462" s="349">
        <v>120</v>
      </c>
      <c r="Q462" s="257">
        <v>100</v>
      </c>
    </row>
    <row r="463" spans="1:17" s="30" customFormat="1" ht="31.5">
      <c r="A463" s="8" t="s">
        <v>923</v>
      </c>
      <c r="B463" s="10" t="s">
        <v>503</v>
      </c>
      <c r="C463" s="10" t="s">
        <v>9</v>
      </c>
      <c r="D463" s="10" t="s">
        <v>11</v>
      </c>
      <c r="E463" s="10" t="s">
        <v>920</v>
      </c>
      <c r="F463" s="10"/>
      <c r="G463" s="11"/>
      <c r="H463" s="11"/>
      <c r="I463" s="7"/>
      <c r="J463" s="7">
        <f t="shared" si="173"/>
        <v>0</v>
      </c>
      <c r="K463" s="7">
        <f t="shared" si="173"/>
        <v>120</v>
      </c>
      <c r="L463" s="7">
        <f t="shared" si="173"/>
        <v>120</v>
      </c>
      <c r="M463" s="40">
        <f t="shared" si="173"/>
        <v>0</v>
      </c>
      <c r="N463" s="7">
        <v>120</v>
      </c>
      <c r="O463" s="7">
        <v>120</v>
      </c>
      <c r="P463" s="349">
        <v>120</v>
      </c>
      <c r="Q463" s="257">
        <v>100</v>
      </c>
    </row>
    <row r="464" spans="1:17" s="30" customFormat="1">
      <c r="A464" s="8" t="s">
        <v>373</v>
      </c>
      <c r="B464" s="10" t="s">
        <v>503</v>
      </c>
      <c r="C464" s="10" t="s">
        <v>9</v>
      </c>
      <c r="D464" s="10" t="s">
        <v>11</v>
      </c>
      <c r="E464" s="10" t="s">
        <v>920</v>
      </c>
      <c r="F464" s="10" t="s">
        <v>372</v>
      </c>
      <c r="G464" s="11"/>
      <c r="H464" s="11"/>
      <c r="I464" s="7"/>
      <c r="J464" s="7"/>
      <c r="K464" s="7">
        <v>120</v>
      </c>
      <c r="L464" s="7">
        <f>J464+K464</f>
        <v>120</v>
      </c>
      <c r="M464" s="40"/>
      <c r="N464" s="7">
        <v>120</v>
      </c>
      <c r="O464" s="7">
        <v>120</v>
      </c>
      <c r="P464" s="349">
        <v>120</v>
      </c>
      <c r="Q464" s="257">
        <v>100</v>
      </c>
    </row>
    <row r="465" spans="1:17" s="30" customFormat="1" ht="78.75">
      <c r="A465" s="33" t="s">
        <v>973</v>
      </c>
      <c r="B465" s="10" t="s">
        <v>503</v>
      </c>
      <c r="C465" s="10" t="s">
        <v>9</v>
      </c>
      <c r="D465" s="10" t="s">
        <v>11</v>
      </c>
      <c r="E465" s="10" t="s">
        <v>972</v>
      </c>
      <c r="F465" s="10"/>
      <c r="G465" s="11"/>
      <c r="H465" s="11"/>
      <c r="I465" s="7"/>
      <c r="J465" s="7">
        <f t="shared" ref="J465:M465" si="174">J466</f>
        <v>0</v>
      </c>
      <c r="K465" s="7">
        <f t="shared" si="174"/>
        <v>326</v>
      </c>
      <c r="L465" s="7">
        <f t="shared" si="174"/>
        <v>326</v>
      </c>
      <c r="M465" s="40">
        <f t="shared" si="174"/>
        <v>0</v>
      </c>
      <c r="N465" s="7">
        <v>326</v>
      </c>
      <c r="O465" s="7">
        <v>422</v>
      </c>
      <c r="P465" s="349">
        <v>422</v>
      </c>
      <c r="Q465" s="257">
        <v>100</v>
      </c>
    </row>
    <row r="466" spans="1:17" s="30" customFormat="1">
      <c r="A466" s="8" t="s">
        <v>373</v>
      </c>
      <c r="B466" s="10" t="s">
        <v>503</v>
      </c>
      <c r="C466" s="10" t="s">
        <v>9</v>
      </c>
      <c r="D466" s="10" t="s">
        <v>11</v>
      </c>
      <c r="E466" s="10" t="s">
        <v>972</v>
      </c>
      <c r="F466" s="10" t="s">
        <v>372</v>
      </c>
      <c r="G466" s="11"/>
      <c r="H466" s="11"/>
      <c r="I466" s="7"/>
      <c r="J466" s="7"/>
      <c r="K466" s="7">
        <f>192+134</f>
        <v>326</v>
      </c>
      <c r="L466" s="7">
        <f>J466+K466</f>
        <v>326</v>
      </c>
      <c r="M466" s="40"/>
      <c r="N466" s="7">
        <v>326</v>
      </c>
      <c r="O466" s="7">
        <v>422</v>
      </c>
      <c r="P466" s="349">
        <v>422</v>
      </c>
      <c r="Q466" s="257">
        <v>100</v>
      </c>
    </row>
    <row r="467" spans="1:17" s="30" customFormat="1">
      <c r="A467" s="8" t="s">
        <v>17</v>
      </c>
      <c r="B467" s="10" t="s">
        <v>503</v>
      </c>
      <c r="C467" s="10" t="s">
        <v>9</v>
      </c>
      <c r="D467" s="10" t="s">
        <v>11</v>
      </c>
      <c r="E467" s="10" t="s">
        <v>18</v>
      </c>
      <c r="F467" s="10"/>
      <c r="G467" s="11"/>
      <c r="H467" s="11"/>
      <c r="I467" s="7"/>
      <c r="J467" s="7">
        <f t="shared" ref="J467:M468" si="175">J468</f>
        <v>0</v>
      </c>
      <c r="K467" s="7">
        <f t="shared" si="175"/>
        <v>90</v>
      </c>
      <c r="L467" s="7">
        <f t="shared" si="175"/>
        <v>90</v>
      </c>
      <c r="M467" s="40">
        <f t="shared" si="175"/>
        <v>0</v>
      </c>
      <c r="N467" s="7">
        <v>90</v>
      </c>
      <c r="O467" s="7">
        <v>90</v>
      </c>
      <c r="P467" s="349">
        <v>90</v>
      </c>
      <c r="Q467" s="257">
        <v>100</v>
      </c>
    </row>
    <row r="468" spans="1:17" s="30" customFormat="1">
      <c r="A468" s="8" t="s">
        <v>1009</v>
      </c>
      <c r="B468" s="10" t="s">
        <v>503</v>
      </c>
      <c r="C468" s="10" t="s">
        <v>9</v>
      </c>
      <c r="D468" s="10" t="s">
        <v>11</v>
      </c>
      <c r="E468" s="10" t="s">
        <v>66</v>
      </c>
      <c r="F468" s="10"/>
      <c r="G468" s="11"/>
      <c r="H468" s="11"/>
      <c r="I468" s="7"/>
      <c r="J468" s="7">
        <f t="shared" si="175"/>
        <v>0</v>
      </c>
      <c r="K468" s="7">
        <f t="shared" si="175"/>
        <v>90</v>
      </c>
      <c r="L468" s="7">
        <f t="shared" si="175"/>
        <v>90</v>
      </c>
      <c r="M468" s="40">
        <f t="shared" si="175"/>
        <v>0</v>
      </c>
      <c r="N468" s="7">
        <v>90</v>
      </c>
      <c r="O468" s="7">
        <v>90</v>
      </c>
      <c r="P468" s="349">
        <v>90</v>
      </c>
      <c r="Q468" s="257">
        <v>100</v>
      </c>
    </row>
    <row r="469" spans="1:17" s="30" customFormat="1">
      <c r="A469" s="8" t="s">
        <v>367</v>
      </c>
      <c r="B469" s="10" t="s">
        <v>503</v>
      </c>
      <c r="C469" s="10" t="s">
        <v>9</v>
      </c>
      <c r="D469" s="10" t="s">
        <v>11</v>
      </c>
      <c r="E469" s="10" t="s">
        <v>66</v>
      </c>
      <c r="F469" s="10" t="s">
        <v>365</v>
      </c>
      <c r="G469" s="11"/>
      <c r="H469" s="11"/>
      <c r="I469" s="7"/>
      <c r="J469" s="7"/>
      <c r="K469" s="7">
        <v>90</v>
      </c>
      <c r="L469" s="7">
        <f>J469+K469</f>
        <v>90</v>
      </c>
      <c r="M469" s="40"/>
      <c r="N469" s="7">
        <v>90</v>
      </c>
      <c r="O469" s="7">
        <v>90</v>
      </c>
      <c r="P469" s="349">
        <v>90</v>
      </c>
      <c r="Q469" s="257">
        <v>100</v>
      </c>
    </row>
    <row r="470" spans="1:17" s="12" customFormat="1">
      <c r="A470" s="8" t="s">
        <v>363</v>
      </c>
      <c r="B470" s="10" t="s">
        <v>503</v>
      </c>
      <c r="C470" s="10" t="s">
        <v>9</v>
      </c>
      <c r="D470" s="10" t="s">
        <v>11</v>
      </c>
      <c r="E470" s="10" t="s">
        <v>364</v>
      </c>
      <c r="F470" s="10"/>
      <c r="G470" s="11">
        <v>-18260.099999999999</v>
      </c>
      <c r="H470" s="11">
        <v>182326.3</v>
      </c>
      <c r="I470" s="7">
        <f t="shared" ref="I470:M470" si="176">I471+I475</f>
        <v>415.2</v>
      </c>
      <c r="J470" s="7">
        <f t="shared" si="176"/>
        <v>182741.5</v>
      </c>
      <c r="K470" s="7">
        <f t="shared" si="176"/>
        <v>5811.6</v>
      </c>
      <c r="L470" s="7">
        <f t="shared" si="176"/>
        <v>188553.1</v>
      </c>
      <c r="M470" s="40">
        <f t="shared" si="176"/>
        <v>-1025.2</v>
      </c>
      <c r="N470" s="7">
        <v>187527.9</v>
      </c>
      <c r="O470" s="7">
        <v>187527.9</v>
      </c>
      <c r="P470" s="349">
        <v>187080.1</v>
      </c>
      <c r="Q470" s="257">
        <v>99.76</v>
      </c>
    </row>
    <row r="471" spans="1:17" s="12" customFormat="1" ht="63">
      <c r="A471" s="8" t="s">
        <v>750</v>
      </c>
      <c r="B471" s="10" t="s">
        <v>503</v>
      </c>
      <c r="C471" s="10" t="s">
        <v>9</v>
      </c>
      <c r="D471" s="10" t="s">
        <v>11</v>
      </c>
      <c r="E471" s="10" t="s">
        <v>749</v>
      </c>
      <c r="F471" s="10"/>
      <c r="G471" s="11">
        <v>7632.8</v>
      </c>
      <c r="H471" s="11">
        <v>7632.8</v>
      </c>
      <c r="I471" s="7">
        <f t="shared" ref="I471:M471" si="177">I472+I473+I474</f>
        <v>215.2</v>
      </c>
      <c r="J471" s="7">
        <f t="shared" si="177"/>
        <v>7848</v>
      </c>
      <c r="K471" s="7">
        <f t="shared" si="177"/>
        <v>120</v>
      </c>
      <c r="L471" s="7">
        <f t="shared" si="177"/>
        <v>7968</v>
      </c>
      <c r="M471" s="40">
        <f t="shared" si="177"/>
        <v>-396.4</v>
      </c>
      <c r="N471" s="7">
        <v>7571.6</v>
      </c>
      <c r="O471" s="7">
        <v>7571.6</v>
      </c>
      <c r="P471" s="349">
        <v>7130.8</v>
      </c>
      <c r="Q471" s="257">
        <v>94.18</v>
      </c>
    </row>
    <row r="472" spans="1:17" s="12" customFormat="1" ht="31.5">
      <c r="A472" s="8" t="s">
        <v>389</v>
      </c>
      <c r="B472" s="10" t="s">
        <v>503</v>
      </c>
      <c r="C472" s="10" t="s">
        <v>9</v>
      </c>
      <c r="D472" s="10" t="s">
        <v>11</v>
      </c>
      <c r="E472" s="10" t="s">
        <v>749</v>
      </c>
      <c r="F472" s="10" t="s">
        <v>369</v>
      </c>
      <c r="G472" s="11">
        <v>5353.3</v>
      </c>
      <c r="H472" s="11">
        <v>5353.3</v>
      </c>
      <c r="I472" s="7"/>
      <c r="J472" s="7">
        <f>H472+I472</f>
        <v>5353.3</v>
      </c>
      <c r="K472" s="7"/>
      <c r="L472" s="7">
        <f>J472+K472</f>
        <v>5353.3</v>
      </c>
      <c r="M472" s="40">
        <v>-396.4</v>
      </c>
      <c r="N472" s="7">
        <v>4956.8999999999996</v>
      </c>
      <c r="O472" s="7">
        <v>4956.8999999999996</v>
      </c>
      <c r="P472" s="349">
        <v>4516.1000000000004</v>
      </c>
      <c r="Q472" s="257">
        <v>91.11</v>
      </c>
    </row>
    <row r="473" spans="1:17" s="12" customFormat="1">
      <c r="A473" s="8" t="s">
        <v>373</v>
      </c>
      <c r="B473" s="10" t="s">
        <v>503</v>
      </c>
      <c r="C473" s="10" t="s">
        <v>9</v>
      </c>
      <c r="D473" s="10" t="s">
        <v>11</v>
      </c>
      <c r="E473" s="10" t="s">
        <v>749</v>
      </c>
      <c r="F473" s="10" t="s">
        <v>372</v>
      </c>
      <c r="G473" s="11">
        <v>1522.7</v>
      </c>
      <c r="H473" s="11">
        <v>1522.7</v>
      </c>
      <c r="I473" s="7">
        <v>215.2</v>
      </c>
      <c r="J473" s="7">
        <f>H473+I473</f>
        <v>1737.9</v>
      </c>
      <c r="K473" s="7"/>
      <c r="L473" s="7">
        <f>J473+K473</f>
        <v>1737.9</v>
      </c>
      <c r="M473" s="40"/>
      <c r="N473" s="7">
        <v>1737.9</v>
      </c>
      <c r="O473" s="7">
        <v>1737.9</v>
      </c>
      <c r="P473" s="349">
        <v>1737.9</v>
      </c>
      <c r="Q473" s="257">
        <v>100</v>
      </c>
    </row>
    <row r="474" spans="1:17" s="12" customFormat="1">
      <c r="A474" s="8" t="s">
        <v>367</v>
      </c>
      <c r="B474" s="10" t="s">
        <v>503</v>
      </c>
      <c r="C474" s="10" t="s">
        <v>9</v>
      </c>
      <c r="D474" s="10" t="s">
        <v>11</v>
      </c>
      <c r="E474" s="10" t="s">
        <v>749</v>
      </c>
      <c r="F474" s="10" t="s">
        <v>365</v>
      </c>
      <c r="G474" s="11">
        <v>756.8</v>
      </c>
      <c r="H474" s="11">
        <v>756.8</v>
      </c>
      <c r="I474" s="7"/>
      <c r="J474" s="7">
        <f>H474+I474</f>
        <v>756.8</v>
      </c>
      <c r="K474" s="7">
        <f>60+60</f>
        <v>120</v>
      </c>
      <c r="L474" s="7">
        <f>J474+K474</f>
        <v>876.8</v>
      </c>
      <c r="M474" s="40"/>
      <c r="N474" s="7">
        <v>876.8</v>
      </c>
      <c r="O474" s="7">
        <v>876.8</v>
      </c>
      <c r="P474" s="349">
        <v>876.8</v>
      </c>
      <c r="Q474" s="257">
        <v>100</v>
      </c>
    </row>
    <row r="475" spans="1:17" s="12" customFormat="1" ht="31.5">
      <c r="A475" s="8" t="s">
        <v>730</v>
      </c>
      <c r="B475" s="10" t="s">
        <v>503</v>
      </c>
      <c r="C475" s="10" t="s">
        <v>9</v>
      </c>
      <c r="D475" s="10" t="s">
        <v>11</v>
      </c>
      <c r="E475" s="10" t="s">
        <v>391</v>
      </c>
      <c r="F475" s="10"/>
      <c r="G475" s="11">
        <v>-25892.9</v>
      </c>
      <c r="H475" s="11">
        <v>174693.5</v>
      </c>
      <c r="I475" s="7">
        <f t="shared" ref="I475:M475" si="178">I476+I477+I478+I479+I480</f>
        <v>200</v>
      </c>
      <c r="J475" s="7">
        <f t="shared" si="178"/>
        <v>174893.5</v>
      </c>
      <c r="K475" s="7">
        <f t="shared" si="178"/>
        <v>5691.6</v>
      </c>
      <c r="L475" s="7">
        <f t="shared" si="178"/>
        <v>180585.1</v>
      </c>
      <c r="M475" s="40">
        <f t="shared" si="178"/>
        <v>-628.79999999999995</v>
      </c>
      <c r="N475" s="7">
        <v>179956.3</v>
      </c>
      <c r="O475" s="7">
        <v>179956.3</v>
      </c>
      <c r="P475" s="349">
        <v>179949.3</v>
      </c>
      <c r="Q475" s="257">
        <v>100</v>
      </c>
    </row>
    <row r="476" spans="1:17" s="12" customFormat="1" ht="31.5">
      <c r="A476" s="8" t="s">
        <v>586</v>
      </c>
      <c r="B476" s="10" t="s">
        <v>503</v>
      </c>
      <c r="C476" s="10" t="s">
        <v>9</v>
      </c>
      <c r="D476" s="10" t="s">
        <v>11</v>
      </c>
      <c r="E476" s="10" t="s">
        <v>391</v>
      </c>
      <c r="F476" s="10" t="s">
        <v>368</v>
      </c>
      <c r="G476" s="11">
        <v>16321.7</v>
      </c>
      <c r="H476" s="31">
        <v>16321.7</v>
      </c>
      <c r="I476" s="7"/>
      <c r="J476" s="7">
        <f>H476+I476</f>
        <v>16321.7</v>
      </c>
      <c r="K476" s="7">
        <v>-2000</v>
      </c>
      <c r="L476" s="7">
        <f>J476+K476</f>
        <v>14321.7</v>
      </c>
      <c r="M476" s="40">
        <v>-850</v>
      </c>
      <c r="N476" s="7">
        <v>13471.7</v>
      </c>
      <c r="O476" s="7">
        <v>13471.7</v>
      </c>
      <c r="P476" s="349">
        <v>13464.7</v>
      </c>
      <c r="Q476" s="257">
        <v>99.95</v>
      </c>
    </row>
    <row r="477" spans="1:17" s="12" customFormat="1" ht="47.25">
      <c r="A477" s="8" t="s">
        <v>360</v>
      </c>
      <c r="B477" s="10" t="s">
        <v>503</v>
      </c>
      <c r="C477" s="10" t="s">
        <v>9</v>
      </c>
      <c r="D477" s="10" t="s">
        <v>11</v>
      </c>
      <c r="E477" s="10" t="s">
        <v>391</v>
      </c>
      <c r="F477" s="10" t="s">
        <v>359</v>
      </c>
      <c r="G477" s="11">
        <v>46109.4</v>
      </c>
      <c r="H477" s="31">
        <v>98736.3</v>
      </c>
      <c r="I477" s="7">
        <v>200</v>
      </c>
      <c r="J477" s="7">
        <f>H477+I477</f>
        <v>98936.3</v>
      </c>
      <c r="K477" s="7">
        <f>4490.9+203.4+83.2</f>
        <v>4777.5</v>
      </c>
      <c r="L477" s="7">
        <f>J477+K477</f>
        <v>103713.8</v>
      </c>
      <c r="M477" s="40">
        <v>286</v>
      </c>
      <c r="N477" s="7">
        <v>103999.8</v>
      </c>
      <c r="O477" s="7">
        <v>103999.8</v>
      </c>
      <c r="P477" s="349">
        <v>103999.8</v>
      </c>
      <c r="Q477" s="257">
        <v>100</v>
      </c>
    </row>
    <row r="478" spans="1:17" s="12" customFormat="1">
      <c r="A478" s="8" t="s">
        <v>373</v>
      </c>
      <c r="B478" s="10" t="s">
        <v>503</v>
      </c>
      <c r="C478" s="10" t="s">
        <v>9</v>
      </c>
      <c r="D478" s="10" t="s">
        <v>11</v>
      </c>
      <c r="E478" s="10" t="s">
        <v>391</v>
      </c>
      <c r="F478" s="10" t="s">
        <v>372</v>
      </c>
      <c r="G478" s="11">
        <v>8139.1</v>
      </c>
      <c r="H478" s="31">
        <v>12960.5</v>
      </c>
      <c r="I478" s="7"/>
      <c r="J478" s="7">
        <f>H478+I478</f>
        <v>12960.5</v>
      </c>
      <c r="K478" s="7">
        <v>1047</v>
      </c>
      <c r="L478" s="7">
        <f>J478+K478</f>
        <v>14007.5</v>
      </c>
      <c r="M478" s="40"/>
      <c r="N478" s="7">
        <v>14007.5</v>
      </c>
      <c r="O478" s="7">
        <v>14007.5</v>
      </c>
      <c r="P478" s="349">
        <v>14007.5</v>
      </c>
      <c r="Q478" s="257">
        <v>100</v>
      </c>
    </row>
    <row r="479" spans="1:17" s="12" customFormat="1" ht="47.25">
      <c r="A479" s="8" t="s">
        <v>366</v>
      </c>
      <c r="B479" s="10" t="s">
        <v>503</v>
      </c>
      <c r="C479" s="10" t="s">
        <v>9</v>
      </c>
      <c r="D479" s="10" t="s">
        <v>11</v>
      </c>
      <c r="E479" s="10" t="s">
        <v>391</v>
      </c>
      <c r="F479" s="10" t="s">
        <v>355</v>
      </c>
      <c r="G479" s="11">
        <v>-100637.6</v>
      </c>
      <c r="H479" s="31">
        <v>33771.699999999997</v>
      </c>
      <c r="I479" s="7"/>
      <c r="J479" s="7">
        <f>H479+I479</f>
        <v>33771.699999999997</v>
      </c>
      <c r="K479" s="7">
        <f>-25.6+892.7</f>
        <v>867.1</v>
      </c>
      <c r="L479" s="7">
        <f>J479+K479</f>
        <v>34638.800000000003</v>
      </c>
      <c r="M479" s="40">
        <v>84</v>
      </c>
      <c r="N479" s="7">
        <v>34722.800000000003</v>
      </c>
      <c r="O479" s="7">
        <v>34722.800000000003</v>
      </c>
      <c r="P479" s="349">
        <v>34722.800000000003</v>
      </c>
      <c r="Q479" s="257">
        <v>100</v>
      </c>
    </row>
    <row r="480" spans="1:17" s="12" customFormat="1">
      <c r="A480" s="8" t="s">
        <v>367</v>
      </c>
      <c r="B480" s="10" t="s">
        <v>503</v>
      </c>
      <c r="C480" s="10" t="s">
        <v>9</v>
      </c>
      <c r="D480" s="10" t="s">
        <v>11</v>
      </c>
      <c r="E480" s="10" t="s">
        <v>391</v>
      </c>
      <c r="F480" s="10" t="s">
        <v>365</v>
      </c>
      <c r="G480" s="11">
        <v>4174.5</v>
      </c>
      <c r="H480" s="31">
        <v>12903.3</v>
      </c>
      <c r="I480" s="7"/>
      <c r="J480" s="7">
        <f>H480+I480</f>
        <v>12903.3</v>
      </c>
      <c r="K480" s="7">
        <v>1000</v>
      </c>
      <c r="L480" s="7">
        <f>J480+K480</f>
        <v>13903.3</v>
      </c>
      <c r="M480" s="40">
        <v>-148.80000000000001</v>
      </c>
      <c r="N480" s="7">
        <v>13754.5</v>
      </c>
      <c r="O480" s="7">
        <v>13754.5</v>
      </c>
      <c r="P480" s="349">
        <v>13754.5</v>
      </c>
      <c r="Q480" s="257">
        <v>100</v>
      </c>
    </row>
    <row r="481" spans="1:17" s="30" customFormat="1" ht="31.5">
      <c r="A481" s="26" t="s">
        <v>75</v>
      </c>
      <c r="B481" s="27" t="s">
        <v>503</v>
      </c>
      <c r="C481" s="27" t="s">
        <v>9</v>
      </c>
      <c r="D481" s="27" t="s">
        <v>31</v>
      </c>
      <c r="E481" s="27"/>
      <c r="F481" s="27"/>
      <c r="G481" s="28">
        <v>-1009.6</v>
      </c>
      <c r="H481" s="28">
        <v>11959.2</v>
      </c>
      <c r="I481" s="29">
        <f>I485</f>
        <v>200</v>
      </c>
      <c r="J481" s="29">
        <f t="shared" ref="J481:M481" si="179">J485+J482</f>
        <v>12159.2</v>
      </c>
      <c r="K481" s="29">
        <f t="shared" si="179"/>
        <v>2711.8</v>
      </c>
      <c r="L481" s="29">
        <f t="shared" si="179"/>
        <v>14871</v>
      </c>
      <c r="M481" s="51">
        <f t="shared" si="179"/>
        <v>80</v>
      </c>
      <c r="N481" s="29">
        <v>14951</v>
      </c>
      <c r="O481" s="29">
        <v>14951</v>
      </c>
      <c r="P481" s="348">
        <v>14951</v>
      </c>
      <c r="Q481" s="256">
        <v>100</v>
      </c>
    </row>
    <row r="482" spans="1:17" s="30" customFormat="1">
      <c r="A482" s="8" t="s">
        <v>17</v>
      </c>
      <c r="B482" s="10" t="s">
        <v>503</v>
      </c>
      <c r="C482" s="10" t="s">
        <v>9</v>
      </c>
      <c r="D482" s="10" t="s">
        <v>31</v>
      </c>
      <c r="E482" s="10" t="s">
        <v>18</v>
      </c>
      <c r="F482" s="10"/>
      <c r="G482" s="28"/>
      <c r="H482" s="28"/>
      <c r="I482" s="29"/>
      <c r="J482" s="7">
        <f t="shared" ref="J482:M483" si="180">J483</f>
        <v>0</v>
      </c>
      <c r="K482" s="7">
        <f t="shared" si="180"/>
        <v>52.6</v>
      </c>
      <c r="L482" s="7">
        <f t="shared" si="180"/>
        <v>52.6</v>
      </c>
      <c r="M482" s="40">
        <f t="shared" si="180"/>
        <v>0</v>
      </c>
      <c r="N482" s="7">
        <v>52.6</v>
      </c>
      <c r="O482" s="7">
        <v>52.6</v>
      </c>
      <c r="P482" s="349">
        <v>52.6</v>
      </c>
      <c r="Q482" s="257">
        <v>100</v>
      </c>
    </row>
    <row r="483" spans="1:17" s="30" customFormat="1">
      <c r="A483" s="8" t="s">
        <v>1009</v>
      </c>
      <c r="B483" s="10" t="s">
        <v>503</v>
      </c>
      <c r="C483" s="10" t="s">
        <v>9</v>
      </c>
      <c r="D483" s="10" t="s">
        <v>31</v>
      </c>
      <c r="E483" s="10" t="s">
        <v>66</v>
      </c>
      <c r="F483" s="10"/>
      <c r="G483" s="28"/>
      <c r="H483" s="28"/>
      <c r="I483" s="29"/>
      <c r="J483" s="7">
        <f t="shared" si="180"/>
        <v>0</v>
      </c>
      <c r="K483" s="7">
        <f t="shared" si="180"/>
        <v>52.6</v>
      </c>
      <c r="L483" s="7">
        <f t="shared" si="180"/>
        <v>52.6</v>
      </c>
      <c r="M483" s="40">
        <f t="shared" si="180"/>
        <v>0</v>
      </c>
      <c r="N483" s="7">
        <v>52.6</v>
      </c>
      <c r="O483" s="7">
        <v>52.6</v>
      </c>
      <c r="P483" s="349">
        <v>52.6</v>
      </c>
      <c r="Q483" s="257">
        <v>100</v>
      </c>
    </row>
    <row r="484" spans="1:17" s="30" customFormat="1">
      <c r="A484" s="8" t="s">
        <v>373</v>
      </c>
      <c r="B484" s="10" t="s">
        <v>503</v>
      </c>
      <c r="C484" s="10" t="s">
        <v>9</v>
      </c>
      <c r="D484" s="10" t="s">
        <v>31</v>
      </c>
      <c r="E484" s="10" t="s">
        <v>66</v>
      </c>
      <c r="F484" s="10" t="s">
        <v>372</v>
      </c>
      <c r="G484" s="28"/>
      <c r="H484" s="28"/>
      <c r="I484" s="29"/>
      <c r="J484" s="7"/>
      <c r="K484" s="7">
        <v>52.6</v>
      </c>
      <c r="L484" s="7">
        <f>J484+K484</f>
        <v>52.6</v>
      </c>
      <c r="M484" s="40"/>
      <c r="N484" s="7">
        <v>52.6</v>
      </c>
      <c r="O484" s="7">
        <v>52.6</v>
      </c>
      <c r="P484" s="349">
        <v>52.6</v>
      </c>
      <c r="Q484" s="257">
        <v>100</v>
      </c>
    </row>
    <row r="485" spans="1:17" s="12" customFormat="1">
      <c r="A485" s="8" t="s">
        <v>363</v>
      </c>
      <c r="B485" s="10" t="s">
        <v>503</v>
      </c>
      <c r="C485" s="10" t="s">
        <v>9</v>
      </c>
      <c r="D485" s="10" t="s">
        <v>31</v>
      </c>
      <c r="E485" s="10" t="s">
        <v>364</v>
      </c>
      <c r="F485" s="10"/>
      <c r="G485" s="11">
        <v>-1009.6</v>
      </c>
      <c r="H485" s="11">
        <v>11959.2</v>
      </c>
      <c r="I485" s="7">
        <f>I489</f>
        <v>200</v>
      </c>
      <c r="J485" s="7">
        <f>J489</f>
        <v>12159.2</v>
      </c>
      <c r="K485" s="7">
        <f t="shared" ref="K485:M485" si="181">K489+K486</f>
        <v>2659.2</v>
      </c>
      <c r="L485" s="7">
        <f t="shared" si="181"/>
        <v>14818.4</v>
      </c>
      <c r="M485" s="40">
        <f t="shared" si="181"/>
        <v>80</v>
      </c>
      <c r="N485" s="7">
        <v>14898.4</v>
      </c>
      <c r="O485" s="7">
        <v>14898.4</v>
      </c>
      <c r="P485" s="349">
        <v>14898.4</v>
      </c>
      <c r="Q485" s="257">
        <v>100</v>
      </c>
    </row>
    <row r="486" spans="1:17" s="12" customFormat="1" ht="31.5">
      <c r="A486" s="8" t="s">
        <v>931</v>
      </c>
      <c r="B486" s="10" t="s">
        <v>503</v>
      </c>
      <c r="C486" s="10" t="s">
        <v>9</v>
      </c>
      <c r="D486" s="10" t="s">
        <v>31</v>
      </c>
      <c r="E486" s="10" t="s">
        <v>930</v>
      </c>
      <c r="F486" s="10"/>
      <c r="G486" s="11"/>
      <c r="H486" s="11"/>
      <c r="I486" s="7"/>
      <c r="J486" s="7"/>
      <c r="K486" s="7">
        <f t="shared" ref="K486:M486" si="182">K487+K488</f>
        <v>2644.3</v>
      </c>
      <c r="L486" s="7">
        <f t="shared" si="182"/>
        <v>2644.3</v>
      </c>
      <c r="M486" s="40">
        <f t="shared" si="182"/>
        <v>0</v>
      </c>
      <c r="N486" s="7">
        <v>2644.3</v>
      </c>
      <c r="O486" s="7">
        <v>2644.3</v>
      </c>
      <c r="P486" s="349">
        <v>2644.3</v>
      </c>
      <c r="Q486" s="257">
        <v>100</v>
      </c>
    </row>
    <row r="487" spans="1:17" s="12" customFormat="1" ht="47.25">
      <c r="A487" s="8" t="s">
        <v>360</v>
      </c>
      <c r="B487" s="10" t="s">
        <v>503</v>
      </c>
      <c r="C487" s="10" t="s">
        <v>9</v>
      </c>
      <c r="D487" s="10" t="s">
        <v>31</v>
      </c>
      <c r="E487" s="10" t="s">
        <v>930</v>
      </c>
      <c r="F487" s="10" t="s">
        <v>359</v>
      </c>
      <c r="G487" s="11"/>
      <c r="H487" s="11"/>
      <c r="I487" s="7"/>
      <c r="J487" s="7"/>
      <c r="K487" s="7">
        <v>2634.3</v>
      </c>
      <c r="L487" s="7">
        <f>J487+K487</f>
        <v>2634.3</v>
      </c>
      <c r="M487" s="40"/>
      <c r="N487" s="7">
        <v>2634.3</v>
      </c>
      <c r="O487" s="7">
        <v>2634.3</v>
      </c>
      <c r="P487" s="349">
        <v>2634.3</v>
      </c>
      <c r="Q487" s="257">
        <v>100</v>
      </c>
    </row>
    <row r="488" spans="1:17" s="12" customFormat="1">
      <c r="A488" s="8" t="s">
        <v>373</v>
      </c>
      <c r="B488" s="10" t="s">
        <v>503</v>
      </c>
      <c r="C488" s="10" t="s">
        <v>9</v>
      </c>
      <c r="D488" s="10" t="s">
        <v>31</v>
      </c>
      <c r="E488" s="10" t="s">
        <v>930</v>
      </c>
      <c r="F488" s="10" t="s">
        <v>372</v>
      </c>
      <c r="G488" s="11"/>
      <c r="H488" s="11"/>
      <c r="I488" s="7"/>
      <c r="J488" s="7"/>
      <c r="K488" s="7">
        <v>10</v>
      </c>
      <c r="L488" s="7">
        <f>K488+J488</f>
        <v>10</v>
      </c>
      <c r="M488" s="40"/>
      <c r="N488" s="7">
        <v>10</v>
      </c>
      <c r="O488" s="7">
        <v>10</v>
      </c>
      <c r="P488" s="349">
        <v>10</v>
      </c>
      <c r="Q488" s="257">
        <v>100</v>
      </c>
    </row>
    <row r="489" spans="1:17" s="12" customFormat="1" ht="47.25">
      <c r="A489" s="8" t="s">
        <v>731</v>
      </c>
      <c r="B489" s="10" t="s">
        <v>503</v>
      </c>
      <c r="C489" s="10" t="s">
        <v>9</v>
      </c>
      <c r="D489" s="10" t="s">
        <v>31</v>
      </c>
      <c r="E489" s="10" t="s">
        <v>392</v>
      </c>
      <c r="F489" s="10"/>
      <c r="G489" s="11">
        <v>-1009.6</v>
      </c>
      <c r="H489" s="11">
        <v>11959.2</v>
      </c>
      <c r="I489" s="7">
        <f t="shared" ref="I489:M489" si="183">I490+I491</f>
        <v>200</v>
      </c>
      <c r="J489" s="7">
        <f t="shared" si="183"/>
        <v>12159.2</v>
      </c>
      <c r="K489" s="7">
        <f t="shared" si="183"/>
        <v>14.9</v>
      </c>
      <c r="L489" s="7">
        <f t="shared" si="183"/>
        <v>12174.1</v>
      </c>
      <c r="M489" s="40">
        <f t="shared" si="183"/>
        <v>80</v>
      </c>
      <c r="N489" s="7">
        <v>12254.1</v>
      </c>
      <c r="O489" s="7">
        <v>12254.1</v>
      </c>
      <c r="P489" s="349">
        <v>12254.1</v>
      </c>
      <c r="Q489" s="257">
        <v>100</v>
      </c>
    </row>
    <row r="490" spans="1:17" s="12" customFormat="1" ht="47.25">
      <c r="A490" s="8" t="s">
        <v>360</v>
      </c>
      <c r="B490" s="10" t="s">
        <v>503</v>
      </c>
      <c r="C490" s="10" t="s">
        <v>9</v>
      </c>
      <c r="D490" s="10" t="s">
        <v>31</v>
      </c>
      <c r="E490" s="10" t="s">
        <v>392</v>
      </c>
      <c r="F490" s="10" t="s">
        <v>359</v>
      </c>
      <c r="G490" s="11">
        <v>-1041.7</v>
      </c>
      <c r="H490" s="31">
        <v>11892.5</v>
      </c>
      <c r="I490" s="7">
        <v>200</v>
      </c>
      <c r="J490" s="7">
        <f>H490+I490</f>
        <v>12092.5</v>
      </c>
      <c r="K490" s="7">
        <v>14.9</v>
      </c>
      <c r="L490" s="7">
        <f>J490+K490</f>
        <v>12107.4</v>
      </c>
      <c r="M490" s="40">
        <v>80</v>
      </c>
      <c r="N490" s="7">
        <v>12187.4</v>
      </c>
      <c r="O490" s="7">
        <v>12187.4</v>
      </c>
      <c r="P490" s="349">
        <v>12187.4</v>
      </c>
      <c r="Q490" s="257">
        <v>100</v>
      </c>
    </row>
    <row r="491" spans="1:17" s="12" customFormat="1">
      <c r="A491" s="8" t="s">
        <v>373</v>
      </c>
      <c r="B491" s="10" t="s">
        <v>503</v>
      </c>
      <c r="C491" s="10" t="s">
        <v>9</v>
      </c>
      <c r="D491" s="10" t="s">
        <v>31</v>
      </c>
      <c r="E491" s="10" t="s">
        <v>392</v>
      </c>
      <c r="F491" s="10" t="s">
        <v>372</v>
      </c>
      <c r="G491" s="11">
        <v>32.1</v>
      </c>
      <c r="H491" s="31">
        <v>66.7</v>
      </c>
      <c r="I491" s="7"/>
      <c r="J491" s="7">
        <f>H491+I491</f>
        <v>66.7</v>
      </c>
      <c r="K491" s="7"/>
      <c r="L491" s="7">
        <f>J491+K491</f>
        <v>66.7</v>
      </c>
      <c r="M491" s="40"/>
      <c r="N491" s="7">
        <v>66.7</v>
      </c>
      <c r="O491" s="7">
        <v>66.7</v>
      </c>
      <c r="P491" s="349">
        <v>66.7</v>
      </c>
      <c r="Q491" s="257">
        <v>100</v>
      </c>
    </row>
    <row r="492" spans="1:17" s="30" customFormat="1">
      <c r="A492" s="26" t="s">
        <v>76</v>
      </c>
      <c r="B492" s="27" t="s">
        <v>503</v>
      </c>
      <c r="C492" s="27" t="s">
        <v>9</v>
      </c>
      <c r="D492" s="27" t="s">
        <v>9</v>
      </c>
      <c r="E492" s="27"/>
      <c r="F492" s="27"/>
      <c r="G492" s="28">
        <v>1391.8</v>
      </c>
      <c r="H492" s="28">
        <v>9128.7000000000007</v>
      </c>
      <c r="I492" s="29" t="e">
        <f>I496+I499</f>
        <v>#REF!</v>
      </c>
      <c r="J492" s="29">
        <f>J496+J499</f>
        <v>9128.7000000000007</v>
      </c>
      <c r="K492" s="29">
        <f>K496+K499</f>
        <v>1143.5999999999999</v>
      </c>
      <c r="L492" s="29">
        <f>L496+L499+L493</f>
        <v>10272.299999999999</v>
      </c>
      <c r="M492" s="51">
        <f>M496+M499+M493</f>
        <v>-154.19999999999999</v>
      </c>
      <c r="N492" s="29">
        <v>10118.1</v>
      </c>
      <c r="O492" s="29">
        <v>10118.1</v>
      </c>
      <c r="P492" s="348">
        <v>10059.700000000001</v>
      </c>
      <c r="Q492" s="256">
        <v>99.42</v>
      </c>
    </row>
    <row r="493" spans="1:17" s="30" customFormat="1">
      <c r="A493" s="8" t="s">
        <v>311</v>
      </c>
      <c r="B493" s="10" t="s">
        <v>503</v>
      </c>
      <c r="C493" s="10" t="s">
        <v>9</v>
      </c>
      <c r="D493" s="10" t="s">
        <v>9</v>
      </c>
      <c r="E493" s="10" t="s">
        <v>312</v>
      </c>
      <c r="F493" s="10"/>
      <c r="G493" s="11"/>
      <c r="H493" s="11"/>
      <c r="I493" s="7"/>
      <c r="J493" s="7"/>
      <c r="K493" s="7"/>
      <c r="L493" s="7">
        <f>L494</f>
        <v>0</v>
      </c>
      <c r="M493" s="40">
        <f t="shared" ref="M493:M494" si="184">M494</f>
        <v>34.4</v>
      </c>
      <c r="N493" s="7">
        <v>34.4</v>
      </c>
      <c r="O493" s="7">
        <v>34.4</v>
      </c>
      <c r="P493" s="349">
        <v>34.4</v>
      </c>
      <c r="Q493" s="257">
        <v>100</v>
      </c>
    </row>
    <row r="494" spans="1:17" s="30" customFormat="1" ht="47.25">
      <c r="A494" s="33" t="s">
        <v>764</v>
      </c>
      <c r="B494" s="10" t="s">
        <v>503</v>
      </c>
      <c r="C494" s="10" t="s">
        <v>9</v>
      </c>
      <c r="D494" s="10" t="s">
        <v>9</v>
      </c>
      <c r="E494" s="10" t="s">
        <v>763</v>
      </c>
      <c r="F494" s="10"/>
      <c r="G494" s="11"/>
      <c r="H494" s="11"/>
      <c r="I494" s="7"/>
      <c r="J494" s="7"/>
      <c r="K494" s="7"/>
      <c r="L494" s="7">
        <f>L495</f>
        <v>0</v>
      </c>
      <c r="M494" s="40">
        <f t="shared" si="184"/>
        <v>34.4</v>
      </c>
      <c r="N494" s="7">
        <v>34.4</v>
      </c>
      <c r="O494" s="7">
        <v>34.4</v>
      </c>
      <c r="P494" s="349">
        <v>34.4</v>
      </c>
      <c r="Q494" s="257">
        <v>100</v>
      </c>
    </row>
    <row r="495" spans="1:17" s="30" customFormat="1">
      <c r="A495" s="8" t="s">
        <v>373</v>
      </c>
      <c r="B495" s="10" t="s">
        <v>503</v>
      </c>
      <c r="C495" s="10" t="s">
        <v>9</v>
      </c>
      <c r="D495" s="10" t="s">
        <v>9</v>
      </c>
      <c r="E495" s="10" t="s">
        <v>763</v>
      </c>
      <c r="F495" s="10" t="s">
        <v>372</v>
      </c>
      <c r="G495" s="11"/>
      <c r="H495" s="11"/>
      <c r="I495" s="7"/>
      <c r="J495" s="7"/>
      <c r="K495" s="7"/>
      <c r="L495" s="7"/>
      <c r="M495" s="40">
        <v>34.4</v>
      </c>
      <c r="N495" s="7">
        <v>34.4</v>
      </c>
      <c r="O495" s="7">
        <v>34.4</v>
      </c>
      <c r="P495" s="349">
        <v>34.4</v>
      </c>
      <c r="Q495" s="257">
        <v>100</v>
      </c>
    </row>
    <row r="496" spans="1:17" s="12" customFormat="1">
      <c r="A496" s="8" t="s">
        <v>17</v>
      </c>
      <c r="B496" s="10" t="s">
        <v>503</v>
      </c>
      <c r="C496" s="10" t="s">
        <v>9</v>
      </c>
      <c r="D496" s="10" t="s">
        <v>9</v>
      </c>
      <c r="E496" s="10" t="s">
        <v>18</v>
      </c>
      <c r="F496" s="10"/>
      <c r="G496" s="11">
        <v>500</v>
      </c>
      <c r="H496" s="11">
        <v>500</v>
      </c>
      <c r="I496" s="7">
        <f t="shared" ref="I496:M497" si="185">I497</f>
        <v>0</v>
      </c>
      <c r="J496" s="7">
        <f t="shared" si="185"/>
        <v>500</v>
      </c>
      <c r="K496" s="7">
        <f t="shared" si="185"/>
        <v>0</v>
      </c>
      <c r="L496" s="7">
        <f t="shared" si="185"/>
        <v>500</v>
      </c>
      <c r="M496" s="40">
        <f t="shared" si="185"/>
        <v>0</v>
      </c>
      <c r="N496" s="7">
        <v>500</v>
      </c>
      <c r="O496" s="7">
        <v>500</v>
      </c>
      <c r="P496" s="349">
        <v>500</v>
      </c>
      <c r="Q496" s="257">
        <v>100</v>
      </c>
    </row>
    <row r="497" spans="1:17" s="12" customFormat="1" ht="31.5">
      <c r="A497" s="8" t="s">
        <v>651</v>
      </c>
      <c r="B497" s="10" t="s">
        <v>503</v>
      </c>
      <c r="C497" s="10" t="s">
        <v>9</v>
      </c>
      <c r="D497" s="10" t="s">
        <v>9</v>
      </c>
      <c r="E497" s="10" t="s">
        <v>652</v>
      </c>
      <c r="F497" s="10"/>
      <c r="G497" s="11">
        <v>500</v>
      </c>
      <c r="H497" s="11">
        <v>500</v>
      </c>
      <c r="I497" s="7">
        <f t="shared" si="185"/>
        <v>0</v>
      </c>
      <c r="J497" s="7">
        <f t="shared" si="185"/>
        <v>500</v>
      </c>
      <c r="K497" s="7">
        <f t="shared" si="185"/>
        <v>0</v>
      </c>
      <c r="L497" s="7">
        <f t="shared" si="185"/>
        <v>500</v>
      </c>
      <c r="M497" s="40">
        <f t="shared" si="185"/>
        <v>0</v>
      </c>
      <c r="N497" s="7">
        <v>500</v>
      </c>
      <c r="O497" s="7">
        <v>500</v>
      </c>
      <c r="P497" s="349">
        <v>500</v>
      </c>
      <c r="Q497" s="257">
        <v>100</v>
      </c>
    </row>
    <row r="498" spans="1:17" s="12" customFormat="1" ht="47.25">
      <c r="A498" s="8" t="s">
        <v>360</v>
      </c>
      <c r="B498" s="10" t="s">
        <v>503</v>
      </c>
      <c r="C498" s="10" t="s">
        <v>9</v>
      </c>
      <c r="D498" s="10" t="s">
        <v>9</v>
      </c>
      <c r="E498" s="10" t="s">
        <v>652</v>
      </c>
      <c r="F498" s="10" t="s">
        <v>359</v>
      </c>
      <c r="G498" s="11">
        <v>500</v>
      </c>
      <c r="H498" s="31">
        <v>500</v>
      </c>
      <c r="I498" s="7"/>
      <c r="J498" s="7">
        <f>H498+I498</f>
        <v>500</v>
      </c>
      <c r="K498" s="7"/>
      <c r="L498" s="7">
        <f>J498+K498</f>
        <v>500</v>
      </c>
      <c r="M498" s="40"/>
      <c r="N498" s="7">
        <v>500</v>
      </c>
      <c r="O498" s="7">
        <v>500</v>
      </c>
      <c r="P498" s="349">
        <v>500</v>
      </c>
      <c r="Q498" s="257">
        <v>100</v>
      </c>
    </row>
    <row r="499" spans="1:17" s="12" customFormat="1">
      <c r="A499" s="8" t="s">
        <v>363</v>
      </c>
      <c r="B499" s="10" t="s">
        <v>503</v>
      </c>
      <c r="C499" s="10" t="s">
        <v>9</v>
      </c>
      <c r="D499" s="10" t="s">
        <v>9</v>
      </c>
      <c r="E499" s="10" t="s">
        <v>364</v>
      </c>
      <c r="F499" s="10"/>
      <c r="G499" s="11">
        <v>891.8</v>
      </c>
      <c r="H499" s="11">
        <v>8628.7000000000007</v>
      </c>
      <c r="I499" s="7" t="e">
        <f>I500+I506+#REF!</f>
        <v>#REF!</v>
      </c>
      <c r="J499" s="7">
        <f t="shared" ref="J499:M499" si="186">J500+J506</f>
        <v>8628.7000000000007</v>
      </c>
      <c r="K499" s="7">
        <f t="shared" si="186"/>
        <v>1143.5999999999999</v>
      </c>
      <c r="L499" s="7">
        <f t="shared" si="186"/>
        <v>9772.2999999999993</v>
      </c>
      <c r="M499" s="40">
        <f t="shared" si="186"/>
        <v>-188.6</v>
      </c>
      <c r="N499" s="7">
        <v>9583.7000000000007</v>
      </c>
      <c r="O499" s="7">
        <v>9583.7000000000007</v>
      </c>
      <c r="P499" s="349">
        <v>9525.2999999999993</v>
      </c>
      <c r="Q499" s="257">
        <v>99.39</v>
      </c>
    </row>
    <row r="500" spans="1:17" s="12" customFormat="1" ht="31.5">
      <c r="A500" s="8" t="s">
        <v>732</v>
      </c>
      <c r="B500" s="10" t="s">
        <v>503</v>
      </c>
      <c r="C500" s="10" t="s">
        <v>9</v>
      </c>
      <c r="D500" s="10" t="s">
        <v>9</v>
      </c>
      <c r="E500" s="10" t="s">
        <v>390</v>
      </c>
      <c r="F500" s="10"/>
      <c r="G500" s="11">
        <v>3242.3</v>
      </c>
      <c r="H500" s="11">
        <v>4289.2</v>
      </c>
      <c r="I500" s="7" t="e">
        <f>#REF!+I501+I502+I504+I505</f>
        <v>#REF!</v>
      </c>
      <c r="J500" s="7">
        <f>J501+J502+J504+J505</f>
        <v>4289.2</v>
      </c>
      <c r="K500" s="7">
        <f>K501+K502+K504+K505</f>
        <v>1143.5999999999999</v>
      </c>
      <c r="L500" s="7">
        <f>L501+L502+L504+L505+L503</f>
        <v>5432.8</v>
      </c>
      <c r="M500" s="40">
        <f>M501+M502+M504+M505+M503</f>
        <v>-274.60000000000002</v>
      </c>
      <c r="N500" s="7">
        <v>5158.2</v>
      </c>
      <c r="O500" s="7">
        <v>5158.2</v>
      </c>
      <c r="P500" s="349">
        <v>5099.8</v>
      </c>
      <c r="Q500" s="257">
        <v>98.87</v>
      </c>
    </row>
    <row r="501" spans="1:17" s="12" customFormat="1" ht="31.5">
      <c r="A501" s="8" t="s">
        <v>361</v>
      </c>
      <c r="B501" s="10" t="s">
        <v>503</v>
      </c>
      <c r="C501" s="10" t="s">
        <v>9</v>
      </c>
      <c r="D501" s="10" t="s">
        <v>9</v>
      </c>
      <c r="E501" s="10" t="s">
        <v>390</v>
      </c>
      <c r="F501" s="10" t="s">
        <v>333</v>
      </c>
      <c r="G501" s="11">
        <v>3.9</v>
      </c>
      <c r="H501" s="31">
        <v>3.9</v>
      </c>
      <c r="I501" s="7">
        <v>10.199999999999999</v>
      </c>
      <c r="J501" s="7">
        <f>H501+I501</f>
        <v>14.1</v>
      </c>
      <c r="K501" s="7"/>
      <c r="L501" s="7">
        <f>J501+K501</f>
        <v>14.1</v>
      </c>
      <c r="M501" s="40">
        <v>11.9</v>
      </c>
      <c r="N501" s="7">
        <v>26</v>
      </c>
      <c r="O501" s="7">
        <v>26</v>
      </c>
      <c r="P501" s="349">
        <v>23</v>
      </c>
      <c r="Q501" s="257">
        <v>88.46</v>
      </c>
    </row>
    <row r="502" spans="1:17" s="12" customFormat="1">
      <c r="A502" s="8" t="s">
        <v>362</v>
      </c>
      <c r="B502" s="10" t="s">
        <v>503</v>
      </c>
      <c r="C502" s="10" t="s">
        <v>9</v>
      </c>
      <c r="D502" s="10" t="s">
        <v>9</v>
      </c>
      <c r="E502" s="10" t="s">
        <v>390</v>
      </c>
      <c r="F502" s="10" t="s">
        <v>334</v>
      </c>
      <c r="G502" s="11">
        <v>1575.8</v>
      </c>
      <c r="H502" s="31">
        <v>1575.8</v>
      </c>
      <c r="I502" s="7">
        <v>1710.1</v>
      </c>
      <c r="J502" s="7">
        <f>H502+I502</f>
        <v>3285.9</v>
      </c>
      <c r="K502" s="7">
        <f>160+973.7-307</f>
        <v>826.7</v>
      </c>
      <c r="L502" s="7">
        <f>J502+K502</f>
        <v>4112.6000000000004</v>
      </c>
      <c r="M502" s="40">
        <v>-574.6</v>
      </c>
      <c r="N502" s="7">
        <v>3538</v>
      </c>
      <c r="O502" s="7">
        <v>3538</v>
      </c>
      <c r="P502" s="349">
        <v>3482.6</v>
      </c>
      <c r="Q502" s="257">
        <v>98.43</v>
      </c>
    </row>
    <row r="503" spans="1:17" s="12" customFormat="1">
      <c r="A503" s="8" t="s">
        <v>373</v>
      </c>
      <c r="B503" s="10" t="s">
        <v>503</v>
      </c>
      <c r="C503" s="10" t="s">
        <v>9</v>
      </c>
      <c r="D503" s="10" t="s">
        <v>9</v>
      </c>
      <c r="E503" s="10" t="s">
        <v>390</v>
      </c>
      <c r="F503" s="10" t="s">
        <v>372</v>
      </c>
      <c r="G503" s="11"/>
      <c r="H503" s="31"/>
      <c r="I503" s="7"/>
      <c r="J503" s="7"/>
      <c r="K503" s="7"/>
      <c r="L503" s="7"/>
      <c r="M503" s="40">
        <v>42</v>
      </c>
      <c r="N503" s="7">
        <v>42</v>
      </c>
      <c r="O503" s="7">
        <v>42</v>
      </c>
      <c r="P503" s="349">
        <v>42</v>
      </c>
      <c r="Q503" s="257">
        <v>100</v>
      </c>
    </row>
    <row r="504" spans="1:17" s="12" customFormat="1" ht="47.25">
      <c r="A504" s="8" t="s">
        <v>366</v>
      </c>
      <c r="B504" s="10" t="s">
        <v>503</v>
      </c>
      <c r="C504" s="10" t="s">
        <v>9</v>
      </c>
      <c r="D504" s="10" t="s">
        <v>9</v>
      </c>
      <c r="E504" s="10" t="s">
        <v>390</v>
      </c>
      <c r="F504" s="10" t="s">
        <v>355</v>
      </c>
      <c r="G504" s="11">
        <v>-57.7</v>
      </c>
      <c r="H504" s="31">
        <v>687.7</v>
      </c>
      <c r="I504" s="7"/>
      <c r="J504" s="7">
        <f>H504+I504</f>
        <v>687.7</v>
      </c>
      <c r="K504" s="7">
        <v>9.9</v>
      </c>
      <c r="L504" s="7">
        <f>J504+K504</f>
        <v>697.6</v>
      </c>
      <c r="M504" s="40"/>
      <c r="N504" s="7">
        <v>697.6</v>
      </c>
      <c r="O504" s="7">
        <v>697.6</v>
      </c>
      <c r="P504" s="349">
        <v>697.6</v>
      </c>
      <c r="Q504" s="257">
        <v>100</v>
      </c>
    </row>
    <row r="505" spans="1:17" s="12" customFormat="1">
      <c r="A505" s="8" t="s">
        <v>367</v>
      </c>
      <c r="B505" s="10" t="s">
        <v>503</v>
      </c>
      <c r="C505" s="10" t="s">
        <v>9</v>
      </c>
      <c r="D505" s="10" t="s">
        <v>9</v>
      </c>
      <c r="E505" s="10" t="s">
        <v>390</v>
      </c>
      <c r="F505" s="10" t="s">
        <v>365</v>
      </c>
      <c r="G505" s="11">
        <v>0</v>
      </c>
      <c r="H505" s="31">
        <v>301.5</v>
      </c>
      <c r="I505" s="7"/>
      <c r="J505" s="7">
        <f>H505+I505</f>
        <v>301.5</v>
      </c>
      <c r="K505" s="7">
        <v>307</v>
      </c>
      <c r="L505" s="7">
        <f>J505+K505</f>
        <v>608.5</v>
      </c>
      <c r="M505" s="40">
        <v>246.1</v>
      </c>
      <c r="N505" s="7">
        <v>854.6</v>
      </c>
      <c r="O505" s="7">
        <v>854.6</v>
      </c>
      <c r="P505" s="349">
        <v>854.6</v>
      </c>
      <c r="Q505" s="257">
        <v>100</v>
      </c>
    </row>
    <row r="506" spans="1:17" s="12" customFormat="1">
      <c r="A506" s="8" t="s">
        <v>729</v>
      </c>
      <c r="B506" s="10" t="s">
        <v>503</v>
      </c>
      <c r="C506" s="10" t="s">
        <v>9</v>
      </c>
      <c r="D506" s="10" t="s">
        <v>9</v>
      </c>
      <c r="E506" s="10" t="s">
        <v>393</v>
      </c>
      <c r="F506" s="10"/>
      <c r="G506" s="11">
        <v>-2350.5</v>
      </c>
      <c r="H506" s="11">
        <v>4339.5</v>
      </c>
      <c r="I506" s="7" t="e">
        <f>I507+I508+#REF!+#REF!</f>
        <v>#REF!</v>
      </c>
      <c r="J506" s="7">
        <f t="shared" ref="J506:M506" si="187">J507+J508</f>
        <v>4339.5</v>
      </c>
      <c r="K506" s="7">
        <f t="shared" si="187"/>
        <v>0</v>
      </c>
      <c r="L506" s="7">
        <f t="shared" si="187"/>
        <v>4339.5</v>
      </c>
      <c r="M506" s="40">
        <f t="shared" si="187"/>
        <v>86</v>
      </c>
      <c r="N506" s="7">
        <v>4425.5</v>
      </c>
      <c r="O506" s="7">
        <v>4425.5</v>
      </c>
      <c r="P506" s="349">
        <v>4425.5</v>
      </c>
      <c r="Q506" s="257">
        <v>100</v>
      </c>
    </row>
    <row r="507" spans="1:17" s="12" customFormat="1" ht="47.25">
      <c r="A507" s="8" t="s">
        <v>360</v>
      </c>
      <c r="B507" s="10" t="s">
        <v>503</v>
      </c>
      <c r="C507" s="10" t="s">
        <v>9</v>
      </c>
      <c r="D507" s="10" t="s">
        <v>9</v>
      </c>
      <c r="E507" s="10" t="s">
        <v>393</v>
      </c>
      <c r="F507" s="10" t="s">
        <v>359</v>
      </c>
      <c r="G507" s="11">
        <v>4338.7</v>
      </c>
      <c r="H507" s="31">
        <v>4338.7</v>
      </c>
      <c r="I507" s="7"/>
      <c r="J507" s="7">
        <f>H507+I507</f>
        <v>4338.7</v>
      </c>
      <c r="K507" s="7"/>
      <c r="L507" s="7">
        <f>J507+K507</f>
        <v>4338.7</v>
      </c>
      <c r="M507" s="40">
        <f>60+26</f>
        <v>86</v>
      </c>
      <c r="N507" s="7">
        <v>4424.7</v>
      </c>
      <c r="O507" s="7">
        <v>4424.7</v>
      </c>
      <c r="P507" s="349">
        <v>4424.7</v>
      </c>
      <c r="Q507" s="257">
        <v>100</v>
      </c>
    </row>
    <row r="508" spans="1:17" s="12" customFormat="1">
      <c r="A508" s="8" t="s">
        <v>373</v>
      </c>
      <c r="B508" s="10" t="s">
        <v>503</v>
      </c>
      <c r="C508" s="10" t="s">
        <v>9</v>
      </c>
      <c r="D508" s="10" t="s">
        <v>9</v>
      </c>
      <c r="E508" s="10" t="s">
        <v>393</v>
      </c>
      <c r="F508" s="10" t="s">
        <v>372</v>
      </c>
      <c r="G508" s="11">
        <v>0.8</v>
      </c>
      <c r="H508" s="31">
        <v>0.8</v>
      </c>
      <c r="I508" s="7"/>
      <c r="J508" s="7">
        <f>H508+I508</f>
        <v>0.8</v>
      </c>
      <c r="K508" s="7"/>
      <c r="L508" s="7">
        <f>J508+K508</f>
        <v>0.8</v>
      </c>
      <c r="M508" s="40"/>
      <c r="N508" s="7">
        <v>0.8</v>
      </c>
      <c r="O508" s="7">
        <v>0.8</v>
      </c>
      <c r="P508" s="349">
        <v>0.8</v>
      </c>
      <c r="Q508" s="257">
        <v>100</v>
      </c>
    </row>
    <row r="509" spans="1:17" s="30" customFormat="1">
      <c r="A509" s="26" t="s">
        <v>77</v>
      </c>
      <c r="B509" s="27" t="s">
        <v>503</v>
      </c>
      <c r="C509" s="27" t="s">
        <v>9</v>
      </c>
      <c r="D509" s="27" t="s">
        <v>14</v>
      </c>
      <c r="E509" s="27"/>
      <c r="F509" s="27"/>
      <c r="G509" s="28">
        <v>3969.5</v>
      </c>
      <c r="H509" s="28">
        <v>56969.5</v>
      </c>
      <c r="I509" s="29" t="e">
        <f>I510+I518+I529+I539</f>
        <v>#REF!</v>
      </c>
      <c r="J509" s="29" t="e">
        <f>J510+J518+J529+J539+#REF!+J526</f>
        <v>#REF!</v>
      </c>
      <c r="K509" s="29" t="e">
        <f>K510+K518+K529+K539+#REF!+K526</f>
        <v>#REF!</v>
      </c>
      <c r="L509" s="29" t="e">
        <f>L510+L518+L529+L539+#REF!+L526</f>
        <v>#REF!</v>
      </c>
      <c r="M509" s="51" t="e">
        <f>M510+M518+M529+M539+#REF!+M526</f>
        <v>#REF!</v>
      </c>
      <c r="N509" s="29">
        <v>59320.4</v>
      </c>
      <c r="O509" s="29">
        <v>59320.4</v>
      </c>
      <c r="P509" s="348">
        <v>51056.2</v>
      </c>
      <c r="Q509" s="256">
        <v>86.07</v>
      </c>
    </row>
    <row r="510" spans="1:17" s="12" customFormat="1">
      <c r="A510" s="8" t="s">
        <v>37</v>
      </c>
      <c r="B510" s="10" t="s">
        <v>503</v>
      </c>
      <c r="C510" s="10" t="s">
        <v>9</v>
      </c>
      <c r="D510" s="10" t="s">
        <v>14</v>
      </c>
      <c r="E510" s="10" t="s">
        <v>38</v>
      </c>
      <c r="F510" s="10"/>
      <c r="G510" s="11">
        <v>232</v>
      </c>
      <c r="H510" s="11">
        <v>4778.2</v>
      </c>
      <c r="I510" s="7">
        <f t="shared" ref="I510:M510" si="188">I511</f>
        <v>0</v>
      </c>
      <c r="J510" s="7">
        <f t="shared" si="188"/>
        <v>4778.2</v>
      </c>
      <c r="K510" s="7">
        <f t="shared" si="188"/>
        <v>0</v>
      </c>
      <c r="L510" s="7">
        <f t="shared" si="188"/>
        <v>4778.2</v>
      </c>
      <c r="M510" s="40">
        <f t="shared" si="188"/>
        <v>0</v>
      </c>
      <c r="N510" s="7">
        <v>4778.2</v>
      </c>
      <c r="O510" s="7">
        <v>4778.2</v>
      </c>
      <c r="P510" s="349">
        <v>4695.8999999999996</v>
      </c>
      <c r="Q510" s="257">
        <v>98.28</v>
      </c>
    </row>
    <row r="511" spans="1:17" s="12" customFormat="1" ht="78.75">
      <c r="A511" s="8" t="s">
        <v>78</v>
      </c>
      <c r="B511" s="10" t="s">
        <v>503</v>
      </c>
      <c r="C511" s="10" t="s">
        <v>9</v>
      </c>
      <c r="D511" s="10" t="s">
        <v>14</v>
      </c>
      <c r="E511" s="10" t="s">
        <v>79</v>
      </c>
      <c r="F511" s="10"/>
      <c r="G511" s="11">
        <v>232</v>
      </c>
      <c r="H511" s="11">
        <v>4778.2</v>
      </c>
      <c r="I511" s="7">
        <f t="shared" ref="I511:M511" si="189">I512+I513+I514+I515+I516+I517</f>
        <v>0</v>
      </c>
      <c r="J511" s="7">
        <f t="shared" si="189"/>
        <v>4778.2</v>
      </c>
      <c r="K511" s="7">
        <f t="shared" si="189"/>
        <v>0</v>
      </c>
      <c r="L511" s="7">
        <f t="shared" si="189"/>
        <v>4778.2</v>
      </c>
      <c r="M511" s="40">
        <f t="shared" si="189"/>
        <v>0</v>
      </c>
      <c r="N511" s="7">
        <v>4778.2</v>
      </c>
      <c r="O511" s="7">
        <v>4778.2</v>
      </c>
      <c r="P511" s="349">
        <v>4695.8999999999996</v>
      </c>
      <c r="Q511" s="257">
        <v>98.28</v>
      </c>
    </row>
    <row r="512" spans="1:17" s="12" customFormat="1">
      <c r="A512" s="8" t="s">
        <v>337</v>
      </c>
      <c r="B512" s="10" t="s">
        <v>503</v>
      </c>
      <c r="C512" s="10" t="s">
        <v>9</v>
      </c>
      <c r="D512" s="10" t="s">
        <v>14</v>
      </c>
      <c r="E512" s="10" t="s">
        <v>79</v>
      </c>
      <c r="F512" s="10" t="s">
        <v>331</v>
      </c>
      <c r="G512" s="11">
        <v>1001.3</v>
      </c>
      <c r="H512" s="31">
        <v>3968</v>
      </c>
      <c r="I512" s="7"/>
      <c r="J512" s="7">
        <f t="shared" ref="J512:J517" si="190">H512+I512</f>
        <v>3968</v>
      </c>
      <c r="K512" s="7"/>
      <c r="L512" s="7">
        <f t="shared" ref="L512:L517" si="191">J512+K512</f>
        <v>3968</v>
      </c>
      <c r="M512" s="40">
        <v>-60</v>
      </c>
      <c r="N512" s="7">
        <v>3908</v>
      </c>
      <c r="O512" s="7">
        <v>3908</v>
      </c>
      <c r="P512" s="349">
        <v>3862.1</v>
      </c>
      <c r="Q512" s="257">
        <v>98.83</v>
      </c>
    </row>
    <row r="513" spans="1:17" s="12" customFormat="1">
      <c r="A513" s="8" t="s">
        <v>383</v>
      </c>
      <c r="B513" s="10" t="s">
        <v>503</v>
      </c>
      <c r="C513" s="10" t="s">
        <v>9</v>
      </c>
      <c r="D513" s="10" t="s">
        <v>14</v>
      </c>
      <c r="E513" s="10" t="s">
        <v>79</v>
      </c>
      <c r="F513" s="10" t="s">
        <v>332</v>
      </c>
      <c r="G513" s="11">
        <v>242.1</v>
      </c>
      <c r="H513" s="31">
        <v>435</v>
      </c>
      <c r="I513" s="7"/>
      <c r="J513" s="7">
        <f t="shared" si="190"/>
        <v>435</v>
      </c>
      <c r="K513" s="7"/>
      <c r="L513" s="7">
        <f t="shared" si="191"/>
        <v>435</v>
      </c>
      <c r="M513" s="40">
        <v>-176</v>
      </c>
      <c r="N513" s="7">
        <v>259</v>
      </c>
      <c r="O513" s="7">
        <v>259</v>
      </c>
      <c r="P513" s="349">
        <v>230.4</v>
      </c>
      <c r="Q513" s="257">
        <v>88.96</v>
      </c>
    </row>
    <row r="514" spans="1:17" s="12" customFormat="1" ht="31.5">
      <c r="A514" s="8" t="s">
        <v>361</v>
      </c>
      <c r="B514" s="10" t="s">
        <v>503</v>
      </c>
      <c r="C514" s="10" t="s">
        <v>9</v>
      </c>
      <c r="D514" s="10" t="s">
        <v>14</v>
      </c>
      <c r="E514" s="10" t="s">
        <v>79</v>
      </c>
      <c r="F514" s="10" t="s">
        <v>333</v>
      </c>
      <c r="G514" s="11">
        <v>7</v>
      </c>
      <c r="H514" s="31">
        <v>107</v>
      </c>
      <c r="I514" s="7"/>
      <c r="J514" s="7">
        <f t="shared" si="190"/>
        <v>107</v>
      </c>
      <c r="K514" s="7"/>
      <c r="L514" s="7">
        <f t="shared" si="191"/>
        <v>107</v>
      </c>
      <c r="M514" s="40">
        <v>35.9</v>
      </c>
      <c r="N514" s="7">
        <v>142.9</v>
      </c>
      <c r="O514" s="7">
        <v>142.9</v>
      </c>
      <c r="P514" s="349">
        <v>141.4</v>
      </c>
      <c r="Q514" s="257">
        <v>98.95</v>
      </c>
    </row>
    <row r="515" spans="1:17" s="12" customFormat="1" ht="31.5">
      <c r="A515" s="8" t="s">
        <v>339</v>
      </c>
      <c r="B515" s="10" t="s">
        <v>503</v>
      </c>
      <c r="C515" s="10" t="s">
        <v>9</v>
      </c>
      <c r="D515" s="10" t="s">
        <v>14</v>
      </c>
      <c r="E515" s="10" t="s">
        <v>79</v>
      </c>
      <c r="F515" s="10" t="s">
        <v>334</v>
      </c>
      <c r="G515" s="11">
        <v>-1019.6</v>
      </c>
      <c r="H515" s="31">
        <v>267</v>
      </c>
      <c r="I515" s="7">
        <v>-4.2</v>
      </c>
      <c r="J515" s="7">
        <f t="shared" si="190"/>
        <v>262.8</v>
      </c>
      <c r="K515" s="7"/>
      <c r="L515" s="7">
        <f t="shared" si="191"/>
        <v>262.8</v>
      </c>
      <c r="M515" s="40">
        <v>199.6</v>
      </c>
      <c r="N515" s="7">
        <v>462.4</v>
      </c>
      <c r="O515" s="7">
        <v>462.4</v>
      </c>
      <c r="P515" s="349">
        <v>457.8</v>
      </c>
      <c r="Q515" s="257">
        <v>99.01</v>
      </c>
    </row>
    <row r="516" spans="1:17" s="12" customFormat="1">
      <c r="A516" s="8" t="s">
        <v>384</v>
      </c>
      <c r="B516" s="10" t="s">
        <v>503</v>
      </c>
      <c r="C516" s="10" t="s">
        <v>9</v>
      </c>
      <c r="D516" s="10" t="s">
        <v>14</v>
      </c>
      <c r="E516" s="10" t="s">
        <v>79</v>
      </c>
      <c r="F516" s="10" t="s">
        <v>335</v>
      </c>
      <c r="G516" s="11">
        <v>1.2</v>
      </c>
      <c r="H516" s="31">
        <v>1.2</v>
      </c>
      <c r="I516" s="7"/>
      <c r="J516" s="7">
        <f t="shared" si="190"/>
        <v>1.2</v>
      </c>
      <c r="K516" s="7"/>
      <c r="L516" s="7">
        <f t="shared" si="191"/>
        <v>1.2</v>
      </c>
      <c r="M516" s="40"/>
      <c r="N516" s="7">
        <v>1.2</v>
      </c>
      <c r="O516" s="7">
        <v>1.2</v>
      </c>
      <c r="P516" s="349">
        <v>1.2</v>
      </c>
      <c r="Q516" s="257">
        <v>100</v>
      </c>
    </row>
    <row r="517" spans="1:17" s="12" customFormat="1">
      <c r="A517" s="8" t="s">
        <v>380</v>
      </c>
      <c r="B517" s="10" t="s">
        <v>503</v>
      </c>
      <c r="C517" s="10" t="s">
        <v>9</v>
      </c>
      <c r="D517" s="10" t="s">
        <v>14</v>
      </c>
      <c r="E517" s="10" t="s">
        <v>79</v>
      </c>
      <c r="F517" s="10" t="s">
        <v>336</v>
      </c>
      <c r="G517" s="11"/>
      <c r="H517" s="31"/>
      <c r="I517" s="7">
        <v>4.2</v>
      </c>
      <c r="J517" s="7">
        <f t="shared" si="190"/>
        <v>4.2</v>
      </c>
      <c r="K517" s="7"/>
      <c r="L517" s="7">
        <f t="shared" si="191"/>
        <v>4.2</v>
      </c>
      <c r="M517" s="40">
        <v>0.5</v>
      </c>
      <c r="N517" s="7">
        <v>4.7</v>
      </c>
      <c r="O517" s="7">
        <v>4.7</v>
      </c>
      <c r="P517" s="349">
        <v>3</v>
      </c>
      <c r="Q517" s="257">
        <v>63.83</v>
      </c>
    </row>
    <row r="518" spans="1:17" s="12" customFormat="1" ht="47.25">
      <c r="A518" s="8" t="s">
        <v>65</v>
      </c>
      <c r="B518" s="10" t="s">
        <v>503</v>
      </c>
      <c r="C518" s="10" t="s">
        <v>9</v>
      </c>
      <c r="D518" s="10" t="s">
        <v>14</v>
      </c>
      <c r="E518" s="41" t="s">
        <v>41</v>
      </c>
      <c r="F518" s="10"/>
      <c r="G518" s="11">
        <v>-12606.4</v>
      </c>
      <c r="H518" s="11">
        <v>18331.8</v>
      </c>
      <c r="I518" s="7" t="e">
        <f t="shared" ref="I518:M518" si="192">I519</f>
        <v>#REF!</v>
      </c>
      <c r="J518" s="7">
        <f t="shared" si="192"/>
        <v>13973.6</v>
      </c>
      <c r="K518" s="7">
        <f t="shared" si="192"/>
        <v>-65.3</v>
      </c>
      <c r="L518" s="7">
        <f t="shared" si="192"/>
        <v>13908.3</v>
      </c>
      <c r="M518" s="40">
        <f t="shared" si="192"/>
        <v>0</v>
      </c>
      <c r="N518" s="7">
        <v>13908.3</v>
      </c>
      <c r="O518" s="7">
        <v>13908.3</v>
      </c>
      <c r="P518" s="349">
        <v>13600.8</v>
      </c>
      <c r="Q518" s="257">
        <v>97.79</v>
      </c>
    </row>
    <row r="519" spans="1:17" s="12" customFormat="1">
      <c r="A519" s="8" t="s">
        <v>42</v>
      </c>
      <c r="B519" s="10" t="s">
        <v>503</v>
      </c>
      <c r="C519" s="10" t="s">
        <v>9</v>
      </c>
      <c r="D519" s="10" t="s">
        <v>14</v>
      </c>
      <c r="E519" s="41" t="s">
        <v>43</v>
      </c>
      <c r="F519" s="10"/>
      <c r="G519" s="11">
        <v>-12606.4</v>
      </c>
      <c r="H519" s="11">
        <v>18331.8</v>
      </c>
      <c r="I519" s="7" t="e">
        <f>I520+I521+I522+I523+I525+#REF!+I524</f>
        <v>#REF!</v>
      </c>
      <c r="J519" s="7">
        <f t="shared" ref="J519:M519" si="193">J520+J521+J522+J523+J525+J524</f>
        <v>13973.6</v>
      </c>
      <c r="K519" s="7">
        <f t="shared" si="193"/>
        <v>-65.3</v>
      </c>
      <c r="L519" s="7">
        <f t="shared" si="193"/>
        <v>13908.3</v>
      </c>
      <c r="M519" s="40">
        <f t="shared" si="193"/>
        <v>0</v>
      </c>
      <c r="N519" s="7">
        <v>13908.3</v>
      </c>
      <c r="O519" s="7">
        <v>13908.3</v>
      </c>
      <c r="P519" s="349">
        <v>13600.8</v>
      </c>
      <c r="Q519" s="257">
        <v>97.79</v>
      </c>
    </row>
    <row r="520" spans="1:17" s="12" customFormat="1">
      <c r="A520" s="8" t="s">
        <v>337</v>
      </c>
      <c r="B520" s="10" t="s">
        <v>503</v>
      </c>
      <c r="C520" s="10" t="s">
        <v>9</v>
      </c>
      <c r="D520" s="10" t="s">
        <v>14</v>
      </c>
      <c r="E520" s="41" t="s">
        <v>43</v>
      </c>
      <c r="F520" s="10" t="s">
        <v>331</v>
      </c>
      <c r="G520" s="11">
        <v>-5571.6</v>
      </c>
      <c r="H520" s="31">
        <v>16411.5</v>
      </c>
      <c r="I520" s="7">
        <f>-3347.3-1010.9</f>
        <v>-4358.2</v>
      </c>
      <c r="J520" s="7">
        <f t="shared" ref="J520:J525" si="194">H520+I520</f>
        <v>12053.3</v>
      </c>
      <c r="K520" s="7">
        <f>-189.7+124.4</f>
        <v>-65.3</v>
      </c>
      <c r="L520" s="7">
        <f t="shared" ref="L520:L525" si="195">J520+K520</f>
        <v>11988</v>
      </c>
      <c r="M520" s="40">
        <v>-200</v>
      </c>
      <c r="N520" s="7">
        <v>11788</v>
      </c>
      <c r="O520" s="7">
        <v>11788</v>
      </c>
      <c r="P520" s="349">
        <v>11682.2</v>
      </c>
      <c r="Q520" s="257">
        <v>99.1</v>
      </c>
    </row>
    <row r="521" spans="1:17" s="12" customFormat="1">
      <c r="A521" s="8" t="s">
        <v>383</v>
      </c>
      <c r="B521" s="10" t="s">
        <v>503</v>
      </c>
      <c r="C521" s="10" t="s">
        <v>9</v>
      </c>
      <c r="D521" s="10" t="s">
        <v>14</v>
      </c>
      <c r="E521" s="41" t="s">
        <v>43</v>
      </c>
      <c r="F521" s="10" t="s">
        <v>332</v>
      </c>
      <c r="G521" s="11">
        <v>820.3</v>
      </c>
      <c r="H521" s="31">
        <v>900.3</v>
      </c>
      <c r="I521" s="7"/>
      <c r="J521" s="7">
        <f t="shared" si="194"/>
        <v>900.3</v>
      </c>
      <c r="K521" s="7"/>
      <c r="L521" s="7">
        <f t="shared" si="195"/>
        <v>900.3</v>
      </c>
      <c r="M521" s="40">
        <v>-170</v>
      </c>
      <c r="N521" s="7">
        <v>730.3</v>
      </c>
      <c r="O521" s="7">
        <v>730.3</v>
      </c>
      <c r="P521" s="349">
        <v>643.4</v>
      </c>
      <c r="Q521" s="257">
        <v>88.1</v>
      </c>
    </row>
    <row r="522" spans="1:17" s="12" customFormat="1" ht="31.5">
      <c r="A522" s="8" t="s">
        <v>361</v>
      </c>
      <c r="B522" s="10" t="s">
        <v>503</v>
      </c>
      <c r="C522" s="10" t="s">
        <v>9</v>
      </c>
      <c r="D522" s="10" t="s">
        <v>14</v>
      </c>
      <c r="E522" s="41" t="s">
        <v>43</v>
      </c>
      <c r="F522" s="10" t="s">
        <v>333</v>
      </c>
      <c r="G522" s="11">
        <v>387</v>
      </c>
      <c r="H522" s="31">
        <v>387</v>
      </c>
      <c r="I522" s="7"/>
      <c r="J522" s="7">
        <f t="shared" si="194"/>
        <v>387</v>
      </c>
      <c r="K522" s="7"/>
      <c r="L522" s="7">
        <f t="shared" si="195"/>
        <v>387</v>
      </c>
      <c r="M522" s="40"/>
      <c r="N522" s="7">
        <v>387</v>
      </c>
      <c r="O522" s="7">
        <v>387</v>
      </c>
      <c r="P522" s="349">
        <v>385.7</v>
      </c>
      <c r="Q522" s="257">
        <v>99.66</v>
      </c>
    </row>
    <row r="523" spans="1:17" s="12" customFormat="1">
      <c r="A523" s="8" t="s">
        <v>362</v>
      </c>
      <c r="B523" s="10" t="s">
        <v>503</v>
      </c>
      <c r="C523" s="10" t="s">
        <v>9</v>
      </c>
      <c r="D523" s="10" t="s">
        <v>14</v>
      </c>
      <c r="E523" s="41" t="s">
        <v>43</v>
      </c>
      <c r="F523" s="10" t="s">
        <v>334</v>
      </c>
      <c r="G523" s="11">
        <v>-8227</v>
      </c>
      <c r="H523" s="31">
        <v>627.79999999999995</v>
      </c>
      <c r="I523" s="7">
        <v>-10</v>
      </c>
      <c r="J523" s="7">
        <f t="shared" si="194"/>
        <v>617.79999999999995</v>
      </c>
      <c r="K523" s="7"/>
      <c r="L523" s="7">
        <f t="shared" si="195"/>
        <v>617.79999999999995</v>
      </c>
      <c r="M523" s="40">
        <v>370</v>
      </c>
      <c r="N523" s="7">
        <v>987.8</v>
      </c>
      <c r="O523" s="7">
        <v>987.8</v>
      </c>
      <c r="P523" s="349">
        <v>877</v>
      </c>
      <c r="Q523" s="257">
        <v>88.78</v>
      </c>
    </row>
    <row r="524" spans="1:17" s="12" customFormat="1" ht="78.75">
      <c r="A524" s="8" t="s">
        <v>428</v>
      </c>
      <c r="B524" s="10" t="s">
        <v>503</v>
      </c>
      <c r="C524" s="10" t="s">
        <v>9</v>
      </c>
      <c r="D524" s="10" t="s">
        <v>14</v>
      </c>
      <c r="E524" s="41" t="s">
        <v>43</v>
      </c>
      <c r="F524" s="10" t="s">
        <v>427</v>
      </c>
      <c r="G524" s="11"/>
      <c r="H524" s="31"/>
      <c r="I524" s="7">
        <v>10</v>
      </c>
      <c r="J524" s="7">
        <f t="shared" si="194"/>
        <v>10</v>
      </c>
      <c r="K524" s="7"/>
      <c r="L524" s="7">
        <f t="shared" si="195"/>
        <v>10</v>
      </c>
      <c r="M524" s="40"/>
      <c r="N524" s="7">
        <v>10</v>
      </c>
      <c r="O524" s="7">
        <v>10</v>
      </c>
      <c r="P524" s="349">
        <v>10</v>
      </c>
      <c r="Q524" s="257">
        <v>100</v>
      </c>
    </row>
    <row r="525" spans="1:17" s="12" customFormat="1">
      <c r="A525" s="8" t="s">
        <v>384</v>
      </c>
      <c r="B525" s="10" t="s">
        <v>503</v>
      </c>
      <c r="C525" s="10" t="s">
        <v>9</v>
      </c>
      <c r="D525" s="10" t="s">
        <v>14</v>
      </c>
      <c r="E525" s="41" t="s">
        <v>43</v>
      </c>
      <c r="F525" s="10" t="s">
        <v>335</v>
      </c>
      <c r="G525" s="11">
        <v>-5.0999999999999996</v>
      </c>
      <c r="H525" s="31">
        <v>5.2</v>
      </c>
      <c r="I525" s="7"/>
      <c r="J525" s="7">
        <f t="shared" si="194"/>
        <v>5.2</v>
      </c>
      <c r="K525" s="7"/>
      <c r="L525" s="7">
        <f t="shared" si="195"/>
        <v>5.2</v>
      </c>
      <c r="M525" s="40"/>
      <c r="N525" s="7">
        <v>5.2</v>
      </c>
      <c r="O525" s="7">
        <v>5.2</v>
      </c>
      <c r="P525" s="349">
        <v>2.5</v>
      </c>
      <c r="Q525" s="257">
        <v>48.08</v>
      </c>
    </row>
    <row r="526" spans="1:17" s="12" customFormat="1">
      <c r="A526" s="8" t="s">
        <v>80</v>
      </c>
      <c r="B526" s="10" t="s">
        <v>503</v>
      </c>
      <c r="C526" s="10" t="s">
        <v>9</v>
      </c>
      <c r="D526" s="10" t="s">
        <v>14</v>
      </c>
      <c r="E526" s="41" t="s">
        <v>81</v>
      </c>
      <c r="F526" s="10"/>
      <c r="G526" s="11"/>
      <c r="H526" s="31"/>
      <c r="I526" s="7"/>
      <c r="J526" s="7" t="e">
        <f t="shared" ref="J526:M526" si="196">J527</f>
        <v>#REF!</v>
      </c>
      <c r="K526" s="7" t="e">
        <f t="shared" si="196"/>
        <v>#REF!</v>
      </c>
      <c r="L526" s="7" t="e">
        <f t="shared" si="196"/>
        <v>#REF!</v>
      </c>
      <c r="M526" s="40" t="e">
        <f t="shared" si="196"/>
        <v>#REF!</v>
      </c>
      <c r="N526" s="7">
        <v>4694</v>
      </c>
      <c r="O526" s="7">
        <v>4694</v>
      </c>
      <c r="P526" s="349">
        <v>503.8</v>
      </c>
      <c r="Q526" s="257">
        <v>10.73</v>
      </c>
    </row>
    <row r="527" spans="1:17" s="56" customFormat="1" ht="31.5">
      <c r="A527" s="33" t="s">
        <v>1001</v>
      </c>
      <c r="B527" s="55" t="s">
        <v>503</v>
      </c>
      <c r="C527" s="10" t="s">
        <v>9</v>
      </c>
      <c r="D527" s="10" t="s">
        <v>14</v>
      </c>
      <c r="E527" s="41" t="s">
        <v>1000</v>
      </c>
      <c r="F527" s="55"/>
      <c r="G527" s="11"/>
      <c r="H527" s="31"/>
      <c r="I527" s="52"/>
      <c r="J527" s="52" t="e">
        <f>#REF!</f>
        <v>#REF!</v>
      </c>
      <c r="K527" s="52" t="e">
        <f>#REF!</f>
        <v>#REF!</v>
      </c>
      <c r="L527" s="52" t="e">
        <f>#REF!+L528</f>
        <v>#REF!</v>
      </c>
      <c r="M527" s="53" t="e">
        <f>#REF!+M528</f>
        <v>#REF!</v>
      </c>
      <c r="N527" s="52">
        <v>4694</v>
      </c>
      <c r="O527" s="52">
        <v>4694</v>
      </c>
      <c r="P527" s="349">
        <v>503.8</v>
      </c>
      <c r="Q527" s="257">
        <v>10.73</v>
      </c>
    </row>
    <row r="528" spans="1:17" s="56" customFormat="1">
      <c r="A528" s="8" t="s">
        <v>1032</v>
      </c>
      <c r="B528" s="10" t="s">
        <v>503</v>
      </c>
      <c r="C528" s="10" t="s">
        <v>9</v>
      </c>
      <c r="D528" s="10" t="s">
        <v>14</v>
      </c>
      <c r="E528" s="41" t="s">
        <v>1000</v>
      </c>
      <c r="F528" s="10" t="s">
        <v>1031</v>
      </c>
      <c r="G528" s="11"/>
      <c r="H528" s="31"/>
      <c r="I528" s="52"/>
      <c r="J528" s="52"/>
      <c r="K528" s="52"/>
      <c r="L528" s="52"/>
      <c r="M528" s="53">
        <v>4694</v>
      </c>
      <c r="N528" s="52">
        <v>4694</v>
      </c>
      <c r="O528" s="52">
        <v>4694</v>
      </c>
      <c r="P528" s="349">
        <v>503.8</v>
      </c>
      <c r="Q528" s="257">
        <v>10.73</v>
      </c>
    </row>
    <row r="529" spans="1:17" s="12" customFormat="1">
      <c r="A529" s="8" t="s">
        <v>17</v>
      </c>
      <c r="B529" s="10" t="s">
        <v>503</v>
      </c>
      <c r="C529" s="10" t="s">
        <v>9</v>
      </c>
      <c r="D529" s="10" t="s">
        <v>14</v>
      </c>
      <c r="E529" s="10" t="s">
        <v>18</v>
      </c>
      <c r="F529" s="10"/>
      <c r="G529" s="11">
        <v>-3215.1</v>
      </c>
      <c r="H529" s="11">
        <v>5414</v>
      </c>
      <c r="I529" s="7" t="e">
        <f>I530+I533+#REF!+I535</f>
        <v>#REF!</v>
      </c>
      <c r="J529" s="7" t="e">
        <f t="shared" ref="J529:M529" si="197">J530+J533+J535</f>
        <v>#REF!</v>
      </c>
      <c r="K529" s="7" t="e">
        <f t="shared" si="197"/>
        <v>#REF!</v>
      </c>
      <c r="L529" s="7" t="e">
        <f t="shared" si="197"/>
        <v>#REF!</v>
      </c>
      <c r="M529" s="40" t="e">
        <f t="shared" si="197"/>
        <v>#REF!</v>
      </c>
      <c r="N529" s="7">
        <v>5414</v>
      </c>
      <c r="O529" s="7">
        <v>5414</v>
      </c>
      <c r="P529" s="349">
        <v>1815.5</v>
      </c>
      <c r="Q529" s="257">
        <v>33.53</v>
      </c>
    </row>
    <row r="530" spans="1:17" s="12" customFormat="1" ht="47.25">
      <c r="A530" s="8" t="s">
        <v>653</v>
      </c>
      <c r="B530" s="10" t="s">
        <v>503</v>
      </c>
      <c r="C530" s="10" t="s">
        <v>9</v>
      </c>
      <c r="D530" s="10" t="s">
        <v>14</v>
      </c>
      <c r="E530" s="10" t="s">
        <v>654</v>
      </c>
      <c r="F530" s="10"/>
      <c r="G530" s="11">
        <v>1114</v>
      </c>
      <c r="H530" s="11">
        <v>1114</v>
      </c>
      <c r="I530" s="7" t="e">
        <f>#REF!+I531</f>
        <v>#REF!</v>
      </c>
      <c r="J530" s="7">
        <f t="shared" ref="J530:M530" si="198">J531+J532</f>
        <v>1114</v>
      </c>
      <c r="K530" s="7">
        <f t="shared" si="198"/>
        <v>0</v>
      </c>
      <c r="L530" s="7">
        <f t="shared" si="198"/>
        <v>1114</v>
      </c>
      <c r="M530" s="40">
        <f t="shared" si="198"/>
        <v>0</v>
      </c>
      <c r="N530" s="7">
        <v>1114</v>
      </c>
      <c r="O530" s="7">
        <v>1114</v>
      </c>
      <c r="P530" s="349">
        <v>1103.3</v>
      </c>
      <c r="Q530" s="257">
        <v>99.04</v>
      </c>
    </row>
    <row r="531" spans="1:17" s="12" customFormat="1">
      <c r="A531" s="8" t="s">
        <v>362</v>
      </c>
      <c r="B531" s="10" t="s">
        <v>503</v>
      </c>
      <c r="C531" s="10" t="s">
        <v>9</v>
      </c>
      <c r="D531" s="10" t="s">
        <v>14</v>
      </c>
      <c r="E531" s="10" t="s">
        <v>654</v>
      </c>
      <c r="F531" s="10" t="s">
        <v>334</v>
      </c>
      <c r="G531" s="11">
        <v>906.9</v>
      </c>
      <c r="H531" s="31">
        <v>906.9</v>
      </c>
      <c r="I531" s="7">
        <v>207.1</v>
      </c>
      <c r="J531" s="7">
        <f>H531+I531</f>
        <v>1114</v>
      </c>
      <c r="K531" s="7">
        <v>-200</v>
      </c>
      <c r="L531" s="7">
        <f>J531+K531</f>
        <v>914</v>
      </c>
      <c r="M531" s="40"/>
      <c r="N531" s="7">
        <v>914</v>
      </c>
      <c r="O531" s="7">
        <v>914</v>
      </c>
      <c r="P531" s="349">
        <v>903.3</v>
      </c>
      <c r="Q531" s="257">
        <v>98.83</v>
      </c>
    </row>
    <row r="532" spans="1:17" s="12" customFormat="1">
      <c r="A532" s="8" t="s">
        <v>367</v>
      </c>
      <c r="B532" s="10" t="s">
        <v>503</v>
      </c>
      <c r="C532" s="10" t="s">
        <v>9</v>
      </c>
      <c r="D532" s="10" t="s">
        <v>14</v>
      </c>
      <c r="E532" s="10" t="s">
        <v>654</v>
      </c>
      <c r="F532" s="10" t="s">
        <v>365</v>
      </c>
      <c r="G532" s="11"/>
      <c r="H532" s="31"/>
      <c r="I532" s="7"/>
      <c r="J532" s="7"/>
      <c r="K532" s="7">
        <v>200</v>
      </c>
      <c r="L532" s="7">
        <f>J532+K532</f>
        <v>200</v>
      </c>
      <c r="M532" s="40"/>
      <c r="N532" s="7">
        <v>200</v>
      </c>
      <c r="O532" s="7">
        <v>200</v>
      </c>
      <c r="P532" s="349">
        <v>200</v>
      </c>
      <c r="Q532" s="257">
        <v>100</v>
      </c>
    </row>
    <row r="533" spans="1:17" s="12" customFormat="1" ht="63">
      <c r="A533" s="8" t="s">
        <v>655</v>
      </c>
      <c r="B533" s="10" t="s">
        <v>503</v>
      </c>
      <c r="C533" s="10" t="s">
        <v>9</v>
      </c>
      <c r="D533" s="10" t="s">
        <v>14</v>
      </c>
      <c r="E533" s="10" t="s">
        <v>328</v>
      </c>
      <c r="F533" s="10"/>
      <c r="G533" s="11">
        <v>300</v>
      </c>
      <c r="H533" s="11">
        <v>300</v>
      </c>
      <c r="I533" s="7">
        <f t="shared" ref="I533:M533" si="199">I534</f>
        <v>0</v>
      </c>
      <c r="J533" s="7">
        <f t="shared" si="199"/>
        <v>300</v>
      </c>
      <c r="K533" s="7">
        <f t="shared" si="199"/>
        <v>0</v>
      </c>
      <c r="L533" s="7">
        <f t="shared" si="199"/>
        <v>300</v>
      </c>
      <c r="M533" s="40">
        <f t="shared" si="199"/>
        <v>0</v>
      </c>
      <c r="N533" s="7">
        <v>300</v>
      </c>
      <c r="O533" s="7">
        <v>300</v>
      </c>
      <c r="P533" s="349">
        <v>300</v>
      </c>
      <c r="Q533" s="257">
        <v>100</v>
      </c>
    </row>
    <row r="534" spans="1:17" s="12" customFormat="1">
      <c r="A534" s="8" t="s">
        <v>362</v>
      </c>
      <c r="B534" s="10" t="s">
        <v>503</v>
      </c>
      <c r="C534" s="10" t="s">
        <v>9</v>
      </c>
      <c r="D534" s="10" t="s">
        <v>14</v>
      </c>
      <c r="E534" s="10" t="s">
        <v>328</v>
      </c>
      <c r="F534" s="10" t="s">
        <v>334</v>
      </c>
      <c r="G534" s="11">
        <v>300</v>
      </c>
      <c r="H534" s="31">
        <v>300</v>
      </c>
      <c r="I534" s="7"/>
      <c r="J534" s="7">
        <f>H534+I534</f>
        <v>300</v>
      </c>
      <c r="K534" s="7"/>
      <c r="L534" s="7">
        <f>J534+K534</f>
        <v>300</v>
      </c>
      <c r="M534" s="40"/>
      <c r="N534" s="7">
        <v>300</v>
      </c>
      <c r="O534" s="7">
        <v>300</v>
      </c>
      <c r="P534" s="349">
        <v>300</v>
      </c>
      <c r="Q534" s="257">
        <v>100</v>
      </c>
    </row>
    <row r="535" spans="1:17" s="12" customFormat="1">
      <c r="A535" s="8" t="s">
        <v>83</v>
      </c>
      <c r="B535" s="10" t="s">
        <v>503</v>
      </c>
      <c r="C535" s="10" t="s">
        <v>9</v>
      </c>
      <c r="D535" s="10" t="s">
        <v>14</v>
      </c>
      <c r="E535" s="57" t="s">
        <v>84</v>
      </c>
      <c r="F535" s="10"/>
      <c r="G535" s="11">
        <v>4000</v>
      </c>
      <c r="H535" s="11">
        <v>4000</v>
      </c>
      <c r="I535" s="7" t="e">
        <f t="shared" ref="I535:M536" si="200">I536</f>
        <v>#REF!</v>
      </c>
      <c r="J535" s="7" t="e">
        <f t="shared" si="200"/>
        <v>#REF!</v>
      </c>
      <c r="K535" s="7" t="e">
        <f t="shared" si="200"/>
        <v>#REF!</v>
      </c>
      <c r="L535" s="7" t="e">
        <f t="shared" si="200"/>
        <v>#REF!</v>
      </c>
      <c r="M535" s="40" t="e">
        <f t="shared" si="200"/>
        <v>#REF!</v>
      </c>
      <c r="N535" s="7">
        <v>4000</v>
      </c>
      <c r="O535" s="7">
        <v>4000</v>
      </c>
      <c r="P535" s="349">
        <v>412.2</v>
      </c>
      <c r="Q535" s="257">
        <v>10.31</v>
      </c>
    </row>
    <row r="536" spans="1:17" s="12" customFormat="1" ht="47.25">
      <c r="A536" s="8" t="s">
        <v>537</v>
      </c>
      <c r="B536" s="10" t="s">
        <v>503</v>
      </c>
      <c r="C536" s="10" t="s">
        <v>9</v>
      </c>
      <c r="D536" s="10" t="s">
        <v>14</v>
      </c>
      <c r="E536" s="10" t="s">
        <v>220</v>
      </c>
      <c r="F536" s="10"/>
      <c r="G536" s="11">
        <v>4000</v>
      </c>
      <c r="H536" s="11">
        <v>4000</v>
      </c>
      <c r="I536" s="7" t="e">
        <f t="shared" si="200"/>
        <v>#REF!</v>
      </c>
      <c r="J536" s="7" t="e">
        <f t="shared" si="200"/>
        <v>#REF!</v>
      </c>
      <c r="K536" s="7" t="e">
        <f t="shared" si="200"/>
        <v>#REF!</v>
      </c>
      <c r="L536" s="7" t="e">
        <f t="shared" si="200"/>
        <v>#REF!</v>
      </c>
      <c r="M536" s="40" t="e">
        <f t="shared" si="200"/>
        <v>#REF!</v>
      </c>
      <c r="N536" s="7">
        <v>4000</v>
      </c>
      <c r="O536" s="7">
        <v>4000</v>
      </c>
      <c r="P536" s="349">
        <v>412.2</v>
      </c>
      <c r="Q536" s="257">
        <v>10.31</v>
      </c>
    </row>
    <row r="537" spans="1:17" s="12" customFormat="1" ht="47.25">
      <c r="A537" s="58" t="s">
        <v>747</v>
      </c>
      <c r="B537" s="10" t="s">
        <v>503</v>
      </c>
      <c r="C537" s="10" t="s">
        <v>9</v>
      </c>
      <c r="D537" s="10" t="s">
        <v>14</v>
      </c>
      <c r="E537" s="10" t="s">
        <v>220</v>
      </c>
      <c r="F537" s="10"/>
      <c r="G537" s="11">
        <v>4000</v>
      </c>
      <c r="H537" s="11">
        <v>4000</v>
      </c>
      <c r="I537" s="7" t="e">
        <f>#REF!</f>
        <v>#REF!</v>
      </c>
      <c r="J537" s="7" t="e">
        <f>#REF!</f>
        <v>#REF!</v>
      </c>
      <c r="K537" s="7" t="e">
        <f>#REF!</f>
        <v>#REF!</v>
      </c>
      <c r="L537" s="7" t="e">
        <f>#REF!+L538</f>
        <v>#REF!</v>
      </c>
      <c r="M537" s="40" t="e">
        <f>#REF!+M538</f>
        <v>#REF!</v>
      </c>
      <c r="N537" s="7">
        <v>4000</v>
      </c>
      <c r="O537" s="7">
        <v>4000</v>
      </c>
      <c r="P537" s="349">
        <v>412.2</v>
      </c>
      <c r="Q537" s="257">
        <v>10.31</v>
      </c>
    </row>
    <row r="538" spans="1:17" s="12" customFormat="1">
      <c r="A538" s="8" t="s">
        <v>1032</v>
      </c>
      <c r="B538" s="10" t="s">
        <v>503</v>
      </c>
      <c r="C538" s="10" t="s">
        <v>9</v>
      </c>
      <c r="D538" s="10" t="s">
        <v>14</v>
      </c>
      <c r="E538" s="10" t="s">
        <v>220</v>
      </c>
      <c r="F538" s="10" t="s">
        <v>1031</v>
      </c>
      <c r="G538" s="11"/>
      <c r="H538" s="11"/>
      <c r="I538" s="7"/>
      <c r="J538" s="7"/>
      <c r="K538" s="7"/>
      <c r="L538" s="7"/>
      <c r="M538" s="40">
        <v>4000</v>
      </c>
      <c r="N538" s="7">
        <v>4000</v>
      </c>
      <c r="O538" s="7">
        <v>4000</v>
      </c>
      <c r="P538" s="349">
        <v>412.2</v>
      </c>
      <c r="Q538" s="257">
        <v>10.31</v>
      </c>
    </row>
    <row r="539" spans="1:17" s="12" customFormat="1">
      <c r="A539" s="8" t="s">
        <v>363</v>
      </c>
      <c r="B539" s="10" t="s">
        <v>503</v>
      </c>
      <c r="C539" s="10" t="s">
        <v>9</v>
      </c>
      <c r="D539" s="10" t="s">
        <v>14</v>
      </c>
      <c r="E539" s="10" t="s">
        <v>364</v>
      </c>
      <c r="F539" s="10"/>
      <c r="G539" s="11">
        <v>19559</v>
      </c>
      <c r="H539" s="11">
        <v>28445.5</v>
      </c>
      <c r="I539" s="7">
        <f t="shared" ref="I539:M539" si="201">I540+I543+I546</f>
        <v>-280.7</v>
      </c>
      <c r="J539" s="7">
        <f t="shared" si="201"/>
        <v>28164.799999999999</v>
      </c>
      <c r="K539" s="7">
        <f t="shared" si="201"/>
        <v>2197.8000000000002</v>
      </c>
      <c r="L539" s="7">
        <f t="shared" si="201"/>
        <v>30362.6</v>
      </c>
      <c r="M539" s="40">
        <f t="shared" si="201"/>
        <v>163.30000000000001</v>
      </c>
      <c r="N539" s="7">
        <v>30525.9</v>
      </c>
      <c r="O539" s="7">
        <v>30525.9</v>
      </c>
      <c r="P539" s="349">
        <v>30440.2</v>
      </c>
      <c r="Q539" s="257">
        <v>99.72</v>
      </c>
    </row>
    <row r="540" spans="1:17" s="12" customFormat="1" ht="31.5">
      <c r="A540" s="8" t="s">
        <v>656</v>
      </c>
      <c r="B540" s="10" t="s">
        <v>503</v>
      </c>
      <c r="C540" s="10" t="s">
        <v>9</v>
      </c>
      <c r="D540" s="10" t="s">
        <v>14</v>
      </c>
      <c r="E540" s="10" t="s">
        <v>394</v>
      </c>
      <c r="F540" s="10"/>
      <c r="G540" s="11">
        <v>252.6</v>
      </c>
      <c r="H540" s="11">
        <v>3293.9</v>
      </c>
      <c r="I540" s="7">
        <f t="shared" ref="I540:M540" si="202">I541+I542</f>
        <v>0</v>
      </c>
      <c r="J540" s="7">
        <f t="shared" si="202"/>
        <v>3293.9</v>
      </c>
      <c r="K540" s="7">
        <f t="shared" si="202"/>
        <v>429.3</v>
      </c>
      <c r="L540" s="7">
        <f t="shared" si="202"/>
        <v>3723.2</v>
      </c>
      <c r="M540" s="40">
        <f t="shared" si="202"/>
        <v>0</v>
      </c>
      <c r="N540" s="7">
        <v>3723.2</v>
      </c>
      <c r="O540" s="7">
        <v>3723.2</v>
      </c>
      <c r="P540" s="349">
        <v>3723.2</v>
      </c>
      <c r="Q540" s="257">
        <v>100</v>
      </c>
    </row>
    <row r="541" spans="1:17" s="12" customFormat="1" ht="47.25">
      <c r="A541" s="8" t="s">
        <v>360</v>
      </c>
      <c r="B541" s="10" t="s">
        <v>503</v>
      </c>
      <c r="C541" s="10" t="s">
        <v>9</v>
      </c>
      <c r="D541" s="10" t="s">
        <v>14</v>
      </c>
      <c r="E541" s="10" t="s">
        <v>394</v>
      </c>
      <c r="F541" s="10" t="s">
        <v>359</v>
      </c>
      <c r="G541" s="11">
        <v>254.3</v>
      </c>
      <c r="H541" s="31">
        <v>3288.2</v>
      </c>
      <c r="I541" s="7"/>
      <c r="J541" s="7">
        <f>H541+I541</f>
        <v>3288.2</v>
      </c>
      <c r="K541" s="7">
        <f>224.8+51.8+13+139.7</f>
        <v>429.3</v>
      </c>
      <c r="L541" s="7">
        <f>J541+K541</f>
        <v>3717.5</v>
      </c>
      <c r="M541" s="40"/>
      <c r="N541" s="7">
        <v>3717.5</v>
      </c>
      <c r="O541" s="7">
        <v>3717.5</v>
      </c>
      <c r="P541" s="349">
        <v>3717.5</v>
      </c>
      <c r="Q541" s="257">
        <v>100</v>
      </c>
    </row>
    <row r="542" spans="1:17" s="12" customFormat="1">
      <c r="A542" s="8" t="s">
        <v>373</v>
      </c>
      <c r="B542" s="10" t="s">
        <v>503</v>
      </c>
      <c r="C542" s="10" t="s">
        <v>9</v>
      </c>
      <c r="D542" s="10" t="s">
        <v>14</v>
      </c>
      <c r="E542" s="10" t="s">
        <v>394</v>
      </c>
      <c r="F542" s="10" t="s">
        <v>372</v>
      </c>
      <c r="G542" s="11">
        <v>-1.7</v>
      </c>
      <c r="H542" s="31">
        <v>5.7</v>
      </c>
      <c r="I542" s="7"/>
      <c r="J542" s="7">
        <f>H542+I542</f>
        <v>5.7</v>
      </c>
      <c r="K542" s="7"/>
      <c r="L542" s="7">
        <f>J542+K542</f>
        <v>5.7</v>
      </c>
      <c r="M542" s="40"/>
      <c r="N542" s="7">
        <v>5.7</v>
      </c>
      <c r="O542" s="7">
        <v>5.7</v>
      </c>
      <c r="P542" s="349">
        <v>5.7</v>
      </c>
      <c r="Q542" s="257">
        <v>100</v>
      </c>
    </row>
    <row r="543" spans="1:17" s="12" customFormat="1" ht="31.5">
      <c r="A543" s="8" t="s">
        <v>733</v>
      </c>
      <c r="B543" s="10" t="s">
        <v>503</v>
      </c>
      <c r="C543" s="10" t="s">
        <v>9</v>
      </c>
      <c r="D543" s="10" t="s">
        <v>14</v>
      </c>
      <c r="E543" s="34" t="s">
        <v>395</v>
      </c>
      <c r="F543" s="10"/>
      <c r="G543" s="11">
        <v>-448.3</v>
      </c>
      <c r="H543" s="11">
        <v>5396.9</v>
      </c>
      <c r="I543" s="7">
        <f t="shared" ref="I543:M543" si="203">I544+I545</f>
        <v>-614.4</v>
      </c>
      <c r="J543" s="7">
        <f t="shared" si="203"/>
        <v>4782.5</v>
      </c>
      <c r="K543" s="7">
        <f t="shared" si="203"/>
        <v>-64.2</v>
      </c>
      <c r="L543" s="7">
        <f t="shared" si="203"/>
        <v>4718.3</v>
      </c>
      <c r="M543" s="40">
        <f t="shared" si="203"/>
        <v>0</v>
      </c>
      <c r="N543" s="7">
        <v>4718.3</v>
      </c>
      <c r="O543" s="7">
        <v>4718.3</v>
      </c>
      <c r="P543" s="349">
        <v>4718.3</v>
      </c>
      <c r="Q543" s="257">
        <v>100</v>
      </c>
    </row>
    <row r="544" spans="1:17" s="12" customFormat="1" ht="47.25">
      <c r="A544" s="8" t="s">
        <v>360</v>
      </c>
      <c r="B544" s="10" t="s">
        <v>503</v>
      </c>
      <c r="C544" s="10" t="s">
        <v>9</v>
      </c>
      <c r="D544" s="10" t="s">
        <v>14</v>
      </c>
      <c r="E544" s="34" t="s">
        <v>395</v>
      </c>
      <c r="F544" s="10" t="s">
        <v>359</v>
      </c>
      <c r="G544" s="11">
        <v>-422.3</v>
      </c>
      <c r="H544" s="31">
        <v>5365.5</v>
      </c>
      <c r="I544" s="7">
        <v>-614.4</v>
      </c>
      <c r="J544" s="7">
        <f>H544+I544</f>
        <v>4751.1000000000004</v>
      </c>
      <c r="K544" s="7">
        <f>-117.6+53.4</f>
        <v>-64.2</v>
      </c>
      <c r="L544" s="7">
        <f>J544+K544</f>
        <v>4686.8999999999996</v>
      </c>
      <c r="M544" s="40"/>
      <c r="N544" s="7">
        <v>4686.8999999999996</v>
      </c>
      <c r="O544" s="7">
        <v>4686.8999999999996</v>
      </c>
      <c r="P544" s="349">
        <v>4686.8999999999996</v>
      </c>
      <c r="Q544" s="257">
        <v>100</v>
      </c>
    </row>
    <row r="545" spans="1:17" s="12" customFormat="1">
      <c r="A545" s="8" t="s">
        <v>373</v>
      </c>
      <c r="B545" s="10" t="s">
        <v>503</v>
      </c>
      <c r="C545" s="10" t="s">
        <v>9</v>
      </c>
      <c r="D545" s="10" t="s">
        <v>14</v>
      </c>
      <c r="E545" s="34" t="s">
        <v>395</v>
      </c>
      <c r="F545" s="10" t="s">
        <v>372</v>
      </c>
      <c r="G545" s="11">
        <v>-26</v>
      </c>
      <c r="H545" s="31">
        <v>31.4</v>
      </c>
      <c r="I545" s="7"/>
      <c r="J545" s="7">
        <f>H545+I545</f>
        <v>31.4</v>
      </c>
      <c r="K545" s="7"/>
      <c r="L545" s="7">
        <f>J545+K545</f>
        <v>31.4</v>
      </c>
      <c r="M545" s="40"/>
      <c r="N545" s="7">
        <v>31.4</v>
      </c>
      <c r="O545" s="7">
        <v>31.4</v>
      </c>
      <c r="P545" s="349">
        <v>31.4</v>
      </c>
      <c r="Q545" s="257">
        <v>100</v>
      </c>
    </row>
    <row r="546" spans="1:17" s="21" customFormat="1" ht="47.25">
      <c r="A546" s="42" t="s">
        <v>736</v>
      </c>
      <c r="B546" s="10" t="s">
        <v>503</v>
      </c>
      <c r="C546" s="10" t="s">
        <v>9</v>
      </c>
      <c r="D546" s="10" t="s">
        <v>14</v>
      </c>
      <c r="E546" s="34" t="s">
        <v>657</v>
      </c>
      <c r="F546" s="10"/>
      <c r="G546" s="11">
        <v>19754.7</v>
      </c>
      <c r="H546" s="11">
        <v>19754.7</v>
      </c>
      <c r="I546" s="7">
        <f t="shared" ref="I546:M546" si="204">I547+I548+I549+I550+I551+I552</f>
        <v>333.7</v>
      </c>
      <c r="J546" s="7">
        <f t="shared" si="204"/>
        <v>20088.400000000001</v>
      </c>
      <c r="K546" s="7">
        <f t="shared" si="204"/>
        <v>1832.7</v>
      </c>
      <c r="L546" s="7">
        <f t="shared" si="204"/>
        <v>21921.1</v>
      </c>
      <c r="M546" s="40">
        <f t="shared" si="204"/>
        <v>163.30000000000001</v>
      </c>
      <c r="N546" s="7">
        <v>22084.400000000001</v>
      </c>
      <c r="O546" s="7">
        <v>22084.400000000001</v>
      </c>
      <c r="P546" s="349">
        <v>21998.7</v>
      </c>
      <c r="Q546" s="257">
        <v>99.61</v>
      </c>
    </row>
    <row r="547" spans="1:17" s="12" customFormat="1">
      <c r="A547" s="8" t="s">
        <v>337</v>
      </c>
      <c r="B547" s="10" t="s">
        <v>503</v>
      </c>
      <c r="C547" s="10" t="s">
        <v>9</v>
      </c>
      <c r="D547" s="10" t="s">
        <v>14</v>
      </c>
      <c r="E547" s="34" t="s">
        <v>657</v>
      </c>
      <c r="F547" s="10" t="s">
        <v>347</v>
      </c>
      <c r="G547" s="11">
        <v>10062</v>
      </c>
      <c r="H547" s="31">
        <v>10062</v>
      </c>
      <c r="I547" s="7"/>
      <c r="J547" s="7">
        <f t="shared" ref="J547:J552" si="205">H547+I547</f>
        <v>10062</v>
      </c>
      <c r="K547" s="7">
        <v>-66.400000000000006</v>
      </c>
      <c r="L547" s="7">
        <f t="shared" ref="L547:L552" si="206">J547+K547</f>
        <v>9995.6</v>
      </c>
      <c r="M547" s="40">
        <v>-20</v>
      </c>
      <c r="N547" s="7">
        <v>9975.6</v>
      </c>
      <c r="O547" s="7">
        <v>9975.6</v>
      </c>
      <c r="P547" s="349">
        <v>9918.7000000000007</v>
      </c>
      <c r="Q547" s="257">
        <v>99.43</v>
      </c>
    </row>
    <row r="548" spans="1:17" s="12" customFormat="1">
      <c r="A548" s="8" t="s">
        <v>356</v>
      </c>
      <c r="B548" s="10" t="s">
        <v>503</v>
      </c>
      <c r="C548" s="10" t="s">
        <v>9</v>
      </c>
      <c r="D548" s="10" t="s">
        <v>14</v>
      </c>
      <c r="E548" s="34" t="s">
        <v>657</v>
      </c>
      <c r="F548" s="10" t="s">
        <v>348</v>
      </c>
      <c r="G548" s="11">
        <v>870</v>
      </c>
      <c r="H548" s="31">
        <v>870</v>
      </c>
      <c r="I548" s="7"/>
      <c r="J548" s="7">
        <f t="shared" si="205"/>
        <v>870</v>
      </c>
      <c r="K548" s="7">
        <v>-582</v>
      </c>
      <c r="L548" s="7">
        <f t="shared" si="206"/>
        <v>288</v>
      </c>
      <c r="M548" s="40">
        <v>-170.2</v>
      </c>
      <c r="N548" s="7">
        <v>117.8</v>
      </c>
      <c r="O548" s="7">
        <v>117.8</v>
      </c>
      <c r="P548" s="349">
        <v>109.4</v>
      </c>
      <c r="Q548" s="257">
        <v>92.87</v>
      </c>
    </row>
    <row r="549" spans="1:17" s="12" customFormat="1" ht="31.5">
      <c r="A549" s="8" t="s">
        <v>361</v>
      </c>
      <c r="B549" s="10" t="s">
        <v>503</v>
      </c>
      <c r="C549" s="10" t="s">
        <v>9</v>
      </c>
      <c r="D549" s="10" t="s">
        <v>14</v>
      </c>
      <c r="E549" s="34" t="s">
        <v>657</v>
      </c>
      <c r="F549" s="10" t="s">
        <v>333</v>
      </c>
      <c r="G549" s="11">
        <v>807</v>
      </c>
      <c r="H549" s="31">
        <v>807</v>
      </c>
      <c r="I549" s="7">
        <v>200</v>
      </c>
      <c r="J549" s="7">
        <f t="shared" si="205"/>
        <v>1007</v>
      </c>
      <c r="K549" s="7">
        <v>30</v>
      </c>
      <c r="L549" s="7">
        <f t="shared" si="206"/>
        <v>1037</v>
      </c>
      <c r="M549" s="40">
        <f>95+1295</f>
        <v>1390</v>
      </c>
      <c r="N549" s="7">
        <v>2427</v>
      </c>
      <c r="O549" s="7">
        <v>2427</v>
      </c>
      <c r="P549" s="349">
        <v>2425.8000000000002</v>
      </c>
      <c r="Q549" s="257">
        <v>99.95</v>
      </c>
    </row>
    <row r="550" spans="1:17" s="12" customFormat="1">
      <c r="A550" s="8" t="s">
        <v>362</v>
      </c>
      <c r="B550" s="10" t="s">
        <v>503</v>
      </c>
      <c r="C550" s="10" t="s">
        <v>9</v>
      </c>
      <c r="D550" s="10" t="s">
        <v>14</v>
      </c>
      <c r="E550" s="34" t="s">
        <v>657</v>
      </c>
      <c r="F550" s="10" t="s">
        <v>334</v>
      </c>
      <c r="G550" s="11">
        <v>7998.3</v>
      </c>
      <c r="H550" s="31">
        <v>7998.3</v>
      </c>
      <c r="I550" s="7">
        <f>333.7-200</f>
        <v>133.69999999999999</v>
      </c>
      <c r="J550" s="7">
        <f t="shared" si="205"/>
        <v>8132</v>
      </c>
      <c r="K550" s="7">
        <f>2474.5-678.6-30+685.2</f>
        <v>2451.1</v>
      </c>
      <c r="L550" s="7">
        <f t="shared" si="206"/>
        <v>10583.1</v>
      </c>
      <c r="M550" s="40">
        <f>316.3-1364.8-0.1</f>
        <v>-1048.5999999999999</v>
      </c>
      <c r="N550" s="7">
        <v>9534.5</v>
      </c>
      <c r="O550" s="7">
        <v>9534.5</v>
      </c>
      <c r="P550" s="349">
        <v>9516.9</v>
      </c>
      <c r="Q550" s="257">
        <v>99.82</v>
      </c>
    </row>
    <row r="551" spans="1:17" s="12" customFormat="1">
      <c r="A551" s="8" t="s">
        <v>384</v>
      </c>
      <c r="B551" s="10" t="s">
        <v>503</v>
      </c>
      <c r="C551" s="10" t="s">
        <v>9</v>
      </c>
      <c r="D551" s="10" t="s">
        <v>14</v>
      </c>
      <c r="E551" s="34" t="s">
        <v>657</v>
      </c>
      <c r="F551" s="10" t="s">
        <v>335</v>
      </c>
      <c r="G551" s="11">
        <v>7.4</v>
      </c>
      <c r="H551" s="31">
        <v>7.4</v>
      </c>
      <c r="I551" s="7"/>
      <c r="J551" s="7">
        <f t="shared" si="205"/>
        <v>7.4</v>
      </c>
      <c r="K551" s="7"/>
      <c r="L551" s="7">
        <f t="shared" si="206"/>
        <v>7.4</v>
      </c>
      <c r="M551" s="40"/>
      <c r="N551" s="7">
        <v>7.4</v>
      </c>
      <c r="O551" s="7">
        <v>7.4</v>
      </c>
      <c r="P551" s="349">
        <v>5.8</v>
      </c>
      <c r="Q551" s="257">
        <v>78.38</v>
      </c>
    </row>
    <row r="552" spans="1:17" s="12" customFormat="1">
      <c r="A552" s="8" t="s">
        <v>380</v>
      </c>
      <c r="B552" s="10" t="s">
        <v>503</v>
      </c>
      <c r="C552" s="10" t="s">
        <v>9</v>
      </c>
      <c r="D552" s="10" t="s">
        <v>14</v>
      </c>
      <c r="E552" s="34" t="s">
        <v>657</v>
      </c>
      <c r="F552" s="10" t="s">
        <v>336</v>
      </c>
      <c r="G552" s="11">
        <v>10</v>
      </c>
      <c r="H552" s="31">
        <v>10</v>
      </c>
      <c r="I552" s="7"/>
      <c r="J552" s="7">
        <f t="shared" si="205"/>
        <v>10</v>
      </c>
      <c r="K552" s="7"/>
      <c r="L552" s="7">
        <f t="shared" si="206"/>
        <v>10</v>
      </c>
      <c r="M552" s="40">
        <v>12.1</v>
      </c>
      <c r="N552" s="7">
        <v>22.1</v>
      </c>
      <c r="O552" s="7">
        <v>22.1</v>
      </c>
      <c r="P552" s="349">
        <v>22.1</v>
      </c>
      <c r="Q552" s="257">
        <v>100</v>
      </c>
    </row>
    <row r="553" spans="1:17" s="30" customFormat="1">
      <c r="A553" s="26" t="s">
        <v>45</v>
      </c>
      <c r="B553" s="27" t="s">
        <v>503</v>
      </c>
      <c r="C553" s="27">
        <v>10</v>
      </c>
      <c r="D553" s="27"/>
      <c r="E553" s="27"/>
      <c r="F553" s="27"/>
      <c r="G553" s="28">
        <v>-368.7</v>
      </c>
      <c r="H553" s="28">
        <v>4692.1000000000004</v>
      </c>
      <c r="I553" s="29">
        <f t="shared" ref="I553:M553" si="207">I554</f>
        <v>0</v>
      </c>
      <c r="J553" s="29">
        <f t="shared" si="207"/>
        <v>4692.1000000000004</v>
      </c>
      <c r="K553" s="29">
        <f t="shared" si="207"/>
        <v>-2602.1999999999998</v>
      </c>
      <c r="L553" s="29">
        <f t="shared" si="207"/>
        <v>2089.9</v>
      </c>
      <c r="M553" s="51">
        <f t="shared" si="207"/>
        <v>-7.7</v>
      </c>
      <c r="N553" s="29">
        <v>2082.1999999999998</v>
      </c>
      <c r="O553" s="29">
        <v>2082.1999999999998</v>
      </c>
      <c r="P553" s="348">
        <v>2054.3000000000002</v>
      </c>
      <c r="Q553" s="256">
        <v>98.66</v>
      </c>
    </row>
    <row r="554" spans="1:17" s="30" customFormat="1">
      <c r="A554" s="26" t="s">
        <v>87</v>
      </c>
      <c r="B554" s="27" t="s">
        <v>503</v>
      </c>
      <c r="C554" s="27">
        <v>10</v>
      </c>
      <c r="D554" s="27" t="s">
        <v>11</v>
      </c>
      <c r="E554" s="27"/>
      <c r="F554" s="27"/>
      <c r="G554" s="28">
        <v>-368.7</v>
      </c>
      <c r="H554" s="28">
        <v>4692.1000000000004</v>
      </c>
      <c r="I554" s="29">
        <f t="shared" ref="I554:M554" si="208">I555+I558</f>
        <v>0</v>
      </c>
      <c r="J554" s="29">
        <f t="shared" si="208"/>
        <v>4692.1000000000004</v>
      </c>
      <c r="K554" s="29">
        <f t="shared" si="208"/>
        <v>-2602.1999999999998</v>
      </c>
      <c r="L554" s="29">
        <f t="shared" si="208"/>
        <v>2089.9</v>
      </c>
      <c r="M554" s="51">
        <f t="shared" si="208"/>
        <v>-7.7</v>
      </c>
      <c r="N554" s="29">
        <v>2082.1999999999998</v>
      </c>
      <c r="O554" s="29">
        <v>2082.1999999999998</v>
      </c>
      <c r="P554" s="348">
        <v>2054.3000000000002</v>
      </c>
      <c r="Q554" s="256">
        <v>98.66</v>
      </c>
    </row>
    <row r="555" spans="1:17" s="12" customFormat="1">
      <c r="A555" s="8" t="s">
        <v>47</v>
      </c>
      <c r="B555" s="10" t="s">
        <v>503</v>
      </c>
      <c r="C555" s="10">
        <v>10</v>
      </c>
      <c r="D555" s="10" t="s">
        <v>11</v>
      </c>
      <c r="E555" s="10" t="s">
        <v>48</v>
      </c>
      <c r="F555" s="10"/>
      <c r="G555" s="11">
        <v>-365.7</v>
      </c>
      <c r="H555" s="11">
        <v>4634.3</v>
      </c>
      <c r="I555" s="7">
        <f t="shared" ref="I555:M556" si="209">I556</f>
        <v>0</v>
      </c>
      <c r="J555" s="7">
        <f t="shared" si="209"/>
        <v>4634.3</v>
      </c>
      <c r="K555" s="7">
        <f t="shared" si="209"/>
        <v>-2602.1999999999998</v>
      </c>
      <c r="L555" s="7">
        <f t="shared" si="209"/>
        <v>2032.1</v>
      </c>
      <c r="M555" s="40">
        <f t="shared" si="209"/>
        <v>0</v>
      </c>
      <c r="N555" s="7">
        <v>2032.1</v>
      </c>
      <c r="O555" s="7">
        <v>2032.1</v>
      </c>
      <c r="P555" s="349">
        <v>2032.1</v>
      </c>
      <c r="Q555" s="257">
        <v>100</v>
      </c>
    </row>
    <row r="556" spans="1:17" s="12" customFormat="1" ht="31.5">
      <c r="A556" s="8" t="s">
        <v>88</v>
      </c>
      <c r="B556" s="10" t="s">
        <v>503</v>
      </c>
      <c r="C556" s="10">
        <v>10</v>
      </c>
      <c r="D556" s="10" t="s">
        <v>11</v>
      </c>
      <c r="E556" s="10" t="s">
        <v>89</v>
      </c>
      <c r="F556" s="10"/>
      <c r="G556" s="11">
        <v>-365.7</v>
      </c>
      <c r="H556" s="11">
        <v>4634.3</v>
      </c>
      <c r="I556" s="7">
        <f t="shared" si="209"/>
        <v>0</v>
      </c>
      <c r="J556" s="7">
        <f t="shared" si="209"/>
        <v>4634.3</v>
      </c>
      <c r="K556" s="7">
        <f t="shared" si="209"/>
        <v>-2602.1999999999998</v>
      </c>
      <c r="L556" s="7">
        <f t="shared" si="209"/>
        <v>2032.1</v>
      </c>
      <c r="M556" s="40">
        <f t="shared" si="209"/>
        <v>0</v>
      </c>
      <c r="N556" s="7">
        <v>2032.1</v>
      </c>
      <c r="O556" s="7">
        <v>2032.1</v>
      </c>
      <c r="P556" s="349">
        <v>2032.1</v>
      </c>
      <c r="Q556" s="257">
        <v>100</v>
      </c>
    </row>
    <row r="557" spans="1:17" s="12" customFormat="1" ht="31.5">
      <c r="A557" s="8" t="s">
        <v>389</v>
      </c>
      <c r="B557" s="10" t="s">
        <v>503</v>
      </c>
      <c r="C557" s="10">
        <v>10</v>
      </c>
      <c r="D557" s="10" t="s">
        <v>11</v>
      </c>
      <c r="E557" s="10" t="s">
        <v>89</v>
      </c>
      <c r="F557" s="10" t="s">
        <v>369</v>
      </c>
      <c r="G557" s="11">
        <v>-365.7</v>
      </c>
      <c r="H557" s="31">
        <v>4634.3</v>
      </c>
      <c r="I557" s="7"/>
      <c r="J557" s="7">
        <f>H557+I557</f>
        <v>4634.3</v>
      </c>
      <c r="K557" s="7">
        <f>2279.5-4881.7</f>
        <v>-2602.1999999999998</v>
      </c>
      <c r="L557" s="7">
        <f>J557+K557</f>
        <v>2032.1</v>
      </c>
      <c r="M557" s="40"/>
      <c r="N557" s="7">
        <v>2032.1</v>
      </c>
      <c r="O557" s="7">
        <v>2032.1</v>
      </c>
      <c r="P557" s="349">
        <v>2032.1</v>
      </c>
      <c r="Q557" s="257">
        <v>100</v>
      </c>
    </row>
    <row r="558" spans="1:17" s="12" customFormat="1" ht="31.5">
      <c r="A558" s="8" t="s">
        <v>90</v>
      </c>
      <c r="B558" s="10" t="s">
        <v>503</v>
      </c>
      <c r="C558" s="10">
        <v>10</v>
      </c>
      <c r="D558" s="10" t="s">
        <v>11</v>
      </c>
      <c r="E558" s="10" t="s">
        <v>91</v>
      </c>
      <c r="F558" s="10"/>
      <c r="G558" s="11">
        <v>-3</v>
      </c>
      <c r="H558" s="11">
        <v>57.8</v>
      </c>
      <c r="I558" s="7">
        <f t="shared" ref="I558:M558" si="210">I559</f>
        <v>0</v>
      </c>
      <c r="J558" s="7">
        <f t="shared" si="210"/>
        <v>57.8</v>
      </c>
      <c r="K558" s="7">
        <f t="shared" si="210"/>
        <v>0</v>
      </c>
      <c r="L558" s="7">
        <f t="shared" si="210"/>
        <v>57.8</v>
      </c>
      <c r="M558" s="40">
        <f t="shared" si="210"/>
        <v>-7.7</v>
      </c>
      <c r="N558" s="7">
        <v>50.1</v>
      </c>
      <c r="O558" s="7">
        <v>50.1</v>
      </c>
      <c r="P558" s="349">
        <v>22.2</v>
      </c>
      <c r="Q558" s="257">
        <v>44.31</v>
      </c>
    </row>
    <row r="559" spans="1:17" s="12" customFormat="1" ht="47.25">
      <c r="A559" s="8" t="s">
        <v>92</v>
      </c>
      <c r="B559" s="10" t="s">
        <v>503</v>
      </c>
      <c r="C559" s="10">
        <v>10</v>
      </c>
      <c r="D559" s="10" t="s">
        <v>11</v>
      </c>
      <c r="E559" s="10" t="s">
        <v>93</v>
      </c>
      <c r="F559" s="10"/>
      <c r="G559" s="11">
        <v>-3</v>
      </c>
      <c r="H559" s="11">
        <v>57.8</v>
      </c>
      <c r="I559" s="7">
        <f t="shared" ref="I559:M559" si="211">I560+I561</f>
        <v>0</v>
      </c>
      <c r="J559" s="7">
        <f t="shared" si="211"/>
        <v>57.8</v>
      </c>
      <c r="K559" s="7">
        <f t="shared" si="211"/>
        <v>0</v>
      </c>
      <c r="L559" s="7">
        <f t="shared" si="211"/>
        <v>57.8</v>
      </c>
      <c r="M559" s="40">
        <f t="shared" si="211"/>
        <v>-7.7</v>
      </c>
      <c r="N559" s="7">
        <v>50.1</v>
      </c>
      <c r="O559" s="7">
        <v>50.1</v>
      </c>
      <c r="P559" s="349">
        <v>22.2</v>
      </c>
      <c r="Q559" s="257">
        <v>44.31</v>
      </c>
    </row>
    <row r="560" spans="1:17" s="12" customFormat="1">
      <c r="A560" s="8" t="s">
        <v>356</v>
      </c>
      <c r="B560" s="10" t="s">
        <v>503</v>
      </c>
      <c r="C560" s="10">
        <v>10</v>
      </c>
      <c r="D560" s="10" t="s">
        <v>11</v>
      </c>
      <c r="E560" s="10" t="s">
        <v>93</v>
      </c>
      <c r="F560" s="10" t="s">
        <v>348</v>
      </c>
      <c r="G560" s="11">
        <v>6</v>
      </c>
      <c r="H560" s="11">
        <v>6</v>
      </c>
      <c r="I560" s="7"/>
      <c r="J560" s="7">
        <f>H560+I560</f>
        <v>6</v>
      </c>
      <c r="K560" s="7"/>
      <c r="L560" s="7">
        <f>J560+K560</f>
        <v>6</v>
      </c>
      <c r="M560" s="40"/>
      <c r="N560" s="7">
        <v>6</v>
      </c>
      <c r="O560" s="7">
        <v>6</v>
      </c>
      <c r="P560" s="349">
        <v>2.8</v>
      </c>
      <c r="Q560" s="257">
        <v>46.67</v>
      </c>
    </row>
    <row r="561" spans="1:17" s="12" customFormat="1">
      <c r="A561" s="8" t="s">
        <v>362</v>
      </c>
      <c r="B561" s="10" t="s">
        <v>503</v>
      </c>
      <c r="C561" s="10">
        <v>10</v>
      </c>
      <c r="D561" s="10" t="s">
        <v>11</v>
      </c>
      <c r="E561" s="10" t="s">
        <v>94</v>
      </c>
      <c r="F561" s="10" t="s">
        <v>334</v>
      </c>
      <c r="G561" s="11">
        <v>-9</v>
      </c>
      <c r="H561" s="31">
        <v>51.8</v>
      </c>
      <c r="I561" s="7"/>
      <c r="J561" s="7">
        <f>H561+I561</f>
        <v>51.8</v>
      </c>
      <c r="K561" s="7"/>
      <c r="L561" s="7">
        <f>J561+K561</f>
        <v>51.8</v>
      </c>
      <c r="M561" s="40">
        <v>-7.7</v>
      </c>
      <c r="N561" s="7">
        <v>44.1</v>
      </c>
      <c r="O561" s="7">
        <v>44.1</v>
      </c>
      <c r="P561" s="349">
        <v>19.399999999999999</v>
      </c>
      <c r="Q561" s="257">
        <v>43.99</v>
      </c>
    </row>
    <row r="562" spans="1:17" s="30" customFormat="1">
      <c r="A562" s="26" t="s">
        <v>49</v>
      </c>
      <c r="B562" s="27" t="s">
        <v>503</v>
      </c>
      <c r="C562" s="27"/>
      <c r="D562" s="27"/>
      <c r="E562" s="27"/>
      <c r="F562" s="27"/>
      <c r="G562" s="28">
        <v>147346.4</v>
      </c>
      <c r="H562" s="28">
        <v>1994405.8</v>
      </c>
      <c r="I562" s="29" t="e">
        <f>I563+I596</f>
        <v>#REF!</v>
      </c>
      <c r="J562" s="29" t="e">
        <f>J563+J596</f>
        <v>#REF!</v>
      </c>
      <c r="K562" s="29" t="e">
        <f>K563+K596</f>
        <v>#REF!</v>
      </c>
      <c r="L562" s="29" t="e">
        <f>L563+L596</f>
        <v>#REF!</v>
      </c>
      <c r="M562" s="51" t="e">
        <f>M563+M596</f>
        <v>#REF!</v>
      </c>
      <c r="N562" s="29">
        <v>2428272.1</v>
      </c>
      <c r="O562" s="29">
        <v>2431501.4</v>
      </c>
      <c r="P562" s="348">
        <v>2430136.1</v>
      </c>
      <c r="Q562" s="256">
        <v>99.94</v>
      </c>
    </row>
    <row r="563" spans="1:17" s="30" customFormat="1">
      <c r="A563" s="26" t="s">
        <v>8</v>
      </c>
      <c r="B563" s="27" t="s">
        <v>503</v>
      </c>
      <c r="C563" s="27" t="s">
        <v>9</v>
      </c>
      <c r="D563" s="27"/>
      <c r="E563" s="27"/>
      <c r="F563" s="27"/>
      <c r="G563" s="28">
        <v>96885.8</v>
      </c>
      <c r="H563" s="28">
        <v>1687490.4</v>
      </c>
      <c r="I563" s="29" t="e">
        <f>I564+I573+I592</f>
        <v>#REF!</v>
      </c>
      <c r="J563" s="29" t="e">
        <f>J564+J573+J592</f>
        <v>#REF!</v>
      </c>
      <c r="K563" s="29" t="e">
        <f>K564+K573+K592</f>
        <v>#REF!</v>
      </c>
      <c r="L563" s="29" t="e">
        <f>L564+L573+L592</f>
        <v>#REF!</v>
      </c>
      <c r="M563" s="51" t="e">
        <f>M564+M573+M592</f>
        <v>#REF!</v>
      </c>
      <c r="N563" s="29">
        <v>2301825.6</v>
      </c>
      <c r="O563" s="29">
        <v>2305054.9</v>
      </c>
      <c r="P563" s="348">
        <v>2305054.9</v>
      </c>
      <c r="Q563" s="256">
        <v>100</v>
      </c>
    </row>
    <row r="564" spans="1:17" s="30" customFormat="1">
      <c r="A564" s="26" t="s">
        <v>226</v>
      </c>
      <c r="B564" s="27" t="s">
        <v>503</v>
      </c>
      <c r="C564" s="27" t="s">
        <v>9</v>
      </c>
      <c r="D564" s="27" t="s">
        <v>16</v>
      </c>
      <c r="E564" s="27"/>
      <c r="F564" s="27"/>
      <c r="G564" s="28">
        <v>37587</v>
      </c>
      <c r="H564" s="28">
        <v>37587</v>
      </c>
      <c r="I564" s="29">
        <f>I570</f>
        <v>4800</v>
      </c>
      <c r="J564" s="29" t="e">
        <f>J570+J568+J565</f>
        <v>#REF!</v>
      </c>
      <c r="K564" s="29" t="e">
        <f>K570+K568+K565</f>
        <v>#REF!</v>
      </c>
      <c r="L564" s="29" t="e">
        <f>L570+L568+L565</f>
        <v>#REF!</v>
      </c>
      <c r="M564" s="51" t="e">
        <f>M570+M568+M565</f>
        <v>#REF!</v>
      </c>
      <c r="N564" s="29">
        <v>203815.1</v>
      </c>
      <c r="O564" s="29">
        <v>207044.4</v>
      </c>
      <c r="P564" s="348">
        <v>207044.4</v>
      </c>
      <c r="Q564" s="256">
        <v>100</v>
      </c>
    </row>
    <row r="565" spans="1:17" s="30" customFormat="1" ht="31.5">
      <c r="A565" s="33" t="s">
        <v>994</v>
      </c>
      <c r="B565" s="10" t="s">
        <v>503</v>
      </c>
      <c r="C565" s="10" t="s">
        <v>9</v>
      </c>
      <c r="D565" s="10" t="s">
        <v>16</v>
      </c>
      <c r="E565" s="10" t="s">
        <v>992</v>
      </c>
      <c r="F565" s="10"/>
      <c r="G565" s="11"/>
      <c r="H565" s="11"/>
      <c r="I565" s="7"/>
      <c r="J565" s="7">
        <f t="shared" ref="J565:M566" si="212">J566</f>
        <v>0</v>
      </c>
      <c r="K565" s="7">
        <f t="shared" si="212"/>
        <v>4000</v>
      </c>
      <c r="L565" s="7">
        <f t="shared" si="212"/>
        <v>4000</v>
      </c>
      <c r="M565" s="40">
        <f t="shared" si="212"/>
        <v>0</v>
      </c>
      <c r="N565" s="7">
        <v>4000</v>
      </c>
      <c r="O565" s="7">
        <v>4000</v>
      </c>
      <c r="P565" s="349">
        <v>4000</v>
      </c>
      <c r="Q565" s="257">
        <v>100</v>
      </c>
    </row>
    <row r="566" spans="1:17" s="47" customFormat="1" ht="31.5">
      <c r="A566" s="33" t="s">
        <v>995</v>
      </c>
      <c r="B566" s="55" t="s">
        <v>503</v>
      </c>
      <c r="C566" s="55" t="s">
        <v>9</v>
      </c>
      <c r="D566" s="55" t="s">
        <v>16</v>
      </c>
      <c r="E566" s="55" t="s">
        <v>993</v>
      </c>
      <c r="F566" s="44"/>
      <c r="G566" s="45"/>
      <c r="H566" s="45"/>
      <c r="I566" s="46"/>
      <c r="J566" s="52">
        <f t="shared" si="212"/>
        <v>0</v>
      </c>
      <c r="K566" s="52">
        <f t="shared" si="212"/>
        <v>4000</v>
      </c>
      <c r="L566" s="52">
        <f t="shared" si="212"/>
        <v>4000</v>
      </c>
      <c r="M566" s="53">
        <f t="shared" si="212"/>
        <v>0</v>
      </c>
      <c r="N566" s="52">
        <v>4000</v>
      </c>
      <c r="O566" s="52">
        <v>4000</v>
      </c>
      <c r="P566" s="349">
        <v>4000</v>
      </c>
      <c r="Q566" s="257">
        <v>100</v>
      </c>
    </row>
    <row r="567" spans="1:17" s="30" customFormat="1" ht="47.25">
      <c r="A567" s="8" t="s">
        <v>438</v>
      </c>
      <c r="B567" s="55" t="s">
        <v>503</v>
      </c>
      <c r="C567" s="55" t="s">
        <v>9</v>
      </c>
      <c r="D567" s="55" t="s">
        <v>16</v>
      </c>
      <c r="E567" s="55" t="s">
        <v>993</v>
      </c>
      <c r="F567" s="55" t="s">
        <v>385</v>
      </c>
      <c r="G567" s="11"/>
      <c r="H567" s="11"/>
      <c r="I567" s="7"/>
      <c r="J567" s="7"/>
      <c r="K567" s="7">
        <f>5515.7-1515.7</f>
        <v>4000</v>
      </c>
      <c r="L567" s="7">
        <f>J567+K567</f>
        <v>4000</v>
      </c>
      <c r="M567" s="40"/>
      <c r="N567" s="7">
        <v>4000</v>
      </c>
      <c r="O567" s="7">
        <v>4000</v>
      </c>
      <c r="P567" s="349">
        <v>4000</v>
      </c>
      <c r="Q567" s="257">
        <v>100</v>
      </c>
    </row>
    <row r="568" spans="1:17" s="30" customFormat="1">
      <c r="A568" s="8" t="s">
        <v>954</v>
      </c>
      <c r="B568" s="10" t="s">
        <v>503</v>
      </c>
      <c r="C568" s="10" t="s">
        <v>9</v>
      </c>
      <c r="D568" s="10" t="s">
        <v>16</v>
      </c>
      <c r="E568" s="10" t="s">
        <v>953</v>
      </c>
      <c r="F568" s="10"/>
      <c r="G568" s="11"/>
      <c r="H568" s="11"/>
      <c r="I568" s="7"/>
      <c r="J568" s="7" t="e">
        <f>J569+#REF!</f>
        <v>#REF!</v>
      </c>
      <c r="K568" s="7" t="e">
        <f>K569+#REF!</f>
        <v>#REF!</v>
      </c>
      <c r="L568" s="7" t="e">
        <f>L569+#REF!</f>
        <v>#REF!</v>
      </c>
      <c r="M568" s="40" t="e">
        <f>M569+#REF!</f>
        <v>#REF!</v>
      </c>
      <c r="N568" s="7">
        <v>131703.20000000001</v>
      </c>
      <c r="O568" s="7">
        <v>134932.5</v>
      </c>
      <c r="P568" s="349">
        <v>134932.5</v>
      </c>
      <c r="Q568" s="257">
        <v>100</v>
      </c>
    </row>
    <row r="569" spans="1:17" s="30" customFormat="1" ht="47.25">
      <c r="A569" s="8" t="s">
        <v>438</v>
      </c>
      <c r="B569" s="10" t="s">
        <v>503</v>
      </c>
      <c r="C569" s="10" t="s">
        <v>9</v>
      </c>
      <c r="D569" s="10" t="s">
        <v>16</v>
      </c>
      <c r="E569" s="10" t="s">
        <v>953</v>
      </c>
      <c r="F569" s="10" t="s">
        <v>385</v>
      </c>
      <c r="G569" s="11"/>
      <c r="H569" s="11"/>
      <c r="I569" s="7"/>
      <c r="J569" s="7"/>
      <c r="K569" s="7">
        <v>131703.20000000001</v>
      </c>
      <c r="L569" s="7">
        <f>J569+K569</f>
        <v>131703.20000000001</v>
      </c>
      <c r="M569" s="40"/>
      <c r="N569" s="7">
        <v>131703.20000000001</v>
      </c>
      <c r="O569" s="7">
        <v>134932.5</v>
      </c>
      <c r="P569" s="349">
        <v>134932.5</v>
      </c>
      <c r="Q569" s="257">
        <v>100</v>
      </c>
    </row>
    <row r="570" spans="1:17" s="12" customFormat="1">
      <c r="A570" s="8" t="s">
        <v>17</v>
      </c>
      <c r="B570" s="10" t="s">
        <v>503</v>
      </c>
      <c r="C570" s="10" t="s">
        <v>9</v>
      </c>
      <c r="D570" s="10" t="s">
        <v>16</v>
      </c>
      <c r="E570" s="10" t="s">
        <v>18</v>
      </c>
      <c r="F570" s="10"/>
      <c r="G570" s="11">
        <v>37587</v>
      </c>
      <c r="H570" s="11">
        <v>37587</v>
      </c>
      <c r="I570" s="7">
        <f t="shared" ref="I570:M571" si="213">I571</f>
        <v>4800</v>
      </c>
      <c r="J570" s="7">
        <f t="shared" si="213"/>
        <v>42387</v>
      </c>
      <c r="K570" s="7">
        <f t="shared" si="213"/>
        <v>22219.200000000001</v>
      </c>
      <c r="L570" s="7">
        <f t="shared" si="213"/>
        <v>64606.2</v>
      </c>
      <c r="M570" s="40">
        <f t="shared" si="213"/>
        <v>3505.7</v>
      </c>
      <c r="N570" s="7">
        <v>68111.899999999994</v>
      </c>
      <c r="O570" s="7">
        <v>68111.899999999994</v>
      </c>
      <c r="P570" s="349">
        <v>68111.899999999994</v>
      </c>
      <c r="Q570" s="257">
        <v>100</v>
      </c>
    </row>
    <row r="571" spans="1:17" s="12" customFormat="1" ht="31.5">
      <c r="A571" s="8" t="s">
        <v>661</v>
      </c>
      <c r="B571" s="10" t="s">
        <v>503</v>
      </c>
      <c r="C571" s="10" t="s">
        <v>9</v>
      </c>
      <c r="D571" s="10" t="s">
        <v>16</v>
      </c>
      <c r="E571" s="10" t="s">
        <v>662</v>
      </c>
      <c r="F571" s="10"/>
      <c r="G571" s="11">
        <v>37587</v>
      </c>
      <c r="H571" s="11">
        <v>37587</v>
      </c>
      <c r="I571" s="7">
        <f t="shared" si="213"/>
        <v>4800</v>
      </c>
      <c r="J571" s="7">
        <f t="shared" si="213"/>
        <v>42387</v>
      </c>
      <c r="K571" s="7">
        <f t="shared" si="213"/>
        <v>22219.200000000001</v>
      </c>
      <c r="L571" s="7">
        <f t="shared" si="213"/>
        <v>64606.2</v>
      </c>
      <c r="M571" s="40">
        <f t="shared" si="213"/>
        <v>3505.7</v>
      </c>
      <c r="N571" s="7">
        <v>68111.899999999994</v>
      </c>
      <c r="O571" s="7">
        <v>68111.899999999994</v>
      </c>
      <c r="P571" s="349">
        <v>68111.899999999994</v>
      </c>
      <c r="Q571" s="257">
        <v>100</v>
      </c>
    </row>
    <row r="572" spans="1:17" s="12" customFormat="1" ht="47.25">
      <c r="A572" s="8" t="s">
        <v>438</v>
      </c>
      <c r="B572" s="10" t="s">
        <v>503</v>
      </c>
      <c r="C572" s="10" t="s">
        <v>9</v>
      </c>
      <c r="D572" s="10" t="s">
        <v>16</v>
      </c>
      <c r="E572" s="10" t="s">
        <v>662</v>
      </c>
      <c r="F572" s="10" t="s">
        <v>385</v>
      </c>
      <c r="G572" s="11">
        <v>37587</v>
      </c>
      <c r="H572" s="11">
        <v>37587</v>
      </c>
      <c r="I572" s="7">
        <f>5000-200</f>
        <v>4800</v>
      </c>
      <c r="J572" s="7">
        <f>H572+I572</f>
        <v>42387</v>
      </c>
      <c r="K572" s="7">
        <f>11310.2+10800+109</f>
        <v>22219.200000000001</v>
      </c>
      <c r="L572" s="7">
        <f>J572+K572</f>
        <v>64606.2</v>
      </c>
      <c r="M572" s="40">
        <v>3505.7</v>
      </c>
      <c r="N572" s="7">
        <v>68111.899999999994</v>
      </c>
      <c r="O572" s="7">
        <v>68111.899999999994</v>
      </c>
      <c r="P572" s="349">
        <v>68111.899999999994</v>
      </c>
      <c r="Q572" s="257">
        <v>100</v>
      </c>
    </row>
    <row r="573" spans="1:17" s="30" customFormat="1">
      <c r="A573" s="26" t="s">
        <v>73</v>
      </c>
      <c r="B573" s="27" t="s">
        <v>503</v>
      </c>
      <c r="C573" s="27" t="s">
        <v>9</v>
      </c>
      <c r="D573" s="27" t="s">
        <v>26</v>
      </c>
      <c r="E573" s="27"/>
      <c r="F573" s="27"/>
      <c r="G573" s="28">
        <v>58326.1</v>
      </c>
      <c r="H573" s="28">
        <v>1639579.4</v>
      </c>
      <c r="I573" s="29" t="e">
        <f t="shared" ref="I573:M573" si="214">I574+I582+I580+I577</f>
        <v>#REF!</v>
      </c>
      <c r="J573" s="29">
        <f t="shared" si="214"/>
        <v>1750064.2</v>
      </c>
      <c r="K573" s="29">
        <f t="shared" si="214"/>
        <v>330161.59999999998</v>
      </c>
      <c r="L573" s="29">
        <f t="shared" si="214"/>
        <v>2080225.8</v>
      </c>
      <c r="M573" s="51">
        <f t="shared" si="214"/>
        <v>12140.9</v>
      </c>
      <c r="N573" s="29">
        <v>2092366.7</v>
      </c>
      <c r="O573" s="29">
        <v>2092366.7</v>
      </c>
      <c r="P573" s="348">
        <v>2092366.7</v>
      </c>
      <c r="Q573" s="256">
        <v>100</v>
      </c>
    </row>
    <row r="574" spans="1:17" s="21" customFormat="1" ht="31.5">
      <c r="A574" s="8" t="s">
        <v>439</v>
      </c>
      <c r="B574" s="10" t="s">
        <v>503</v>
      </c>
      <c r="C574" s="10" t="s">
        <v>9</v>
      </c>
      <c r="D574" s="10" t="s">
        <v>26</v>
      </c>
      <c r="E574" s="10" t="s">
        <v>440</v>
      </c>
      <c r="F574" s="10"/>
      <c r="G574" s="11">
        <v>44876.4</v>
      </c>
      <c r="H574" s="11">
        <v>1588709.4</v>
      </c>
      <c r="I574" s="7">
        <f t="shared" ref="I574:M575" si="215">I575</f>
        <v>0</v>
      </c>
      <c r="J574" s="7">
        <f t="shared" si="215"/>
        <v>1588709.4</v>
      </c>
      <c r="K574" s="7">
        <f t="shared" si="215"/>
        <v>286771.20000000001</v>
      </c>
      <c r="L574" s="7">
        <f t="shared" si="215"/>
        <v>1875480.6</v>
      </c>
      <c r="M574" s="40">
        <f t="shared" si="215"/>
        <v>15799.2</v>
      </c>
      <c r="N574" s="7">
        <v>1891279.8</v>
      </c>
      <c r="O574" s="7">
        <v>1891279.8</v>
      </c>
      <c r="P574" s="349">
        <v>1891279.8</v>
      </c>
      <c r="Q574" s="257">
        <v>100</v>
      </c>
    </row>
    <row r="575" spans="1:17" s="21" customFormat="1" ht="78.75">
      <c r="A575" s="8" t="s">
        <v>175</v>
      </c>
      <c r="B575" s="10" t="s">
        <v>503</v>
      </c>
      <c r="C575" s="10" t="s">
        <v>9</v>
      </c>
      <c r="D575" s="10" t="s">
        <v>26</v>
      </c>
      <c r="E575" s="10" t="s">
        <v>174</v>
      </c>
      <c r="F575" s="10"/>
      <c r="G575" s="11">
        <v>44876.4</v>
      </c>
      <c r="H575" s="11">
        <v>1588709.4</v>
      </c>
      <c r="I575" s="7">
        <f t="shared" si="215"/>
        <v>0</v>
      </c>
      <c r="J575" s="7">
        <f t="shared" si="215"/>
        <v>1588709.4</v>
      </c>
      <c r="K575" s="7">
        <f t="shared" si="215"/>
        <v>286771.20000000001</v>
      </c>
      <c r="L575" s="7">
        <f t="shared" si="215"/>
        <v>1875480.6</v>
      </c>
      <c r="M575" s="40">
        <f t="shared" si="215"/>
        <v>15799.2</v>
      </c>
      <c r="N575" s="7">
        <v>1891279.8</v>
      </c>
      <c r="O575" s="7">
        <v>1891279.8</v>
      </c>
      <c r="P575" s="349">
        <v>1891279.8</v>
      </c>
      <c r="Q575" s="257">
        <v>100</v>
      </c>
    </row>
    <row r="576" spans="1:17" s="21" customFormat="1">
      <c r="A576" s="8" t="s">
        <v>435</v>
      </c>
      <c r="B576" s="10" t="s">
        <v>503</v>
      </c>
      <c r="C576" s="10" t="s">
        <v>9</v>
      </c>
      <c r="D576" s="10" t="s">
        <v>26</v>
      </c>
      <c r="E576" s="10" t="s">
        <v>174</v>
      </c>
      <c r="F576" s="10" t="s">
        <v>432</v>
      </c>
      <c r="G576" s="11">
        <v>44876.4</v>
      </c>
      <c r="H576" s="31">
        <v>1588709.4</v>
      </c>
      <c r="I576" s="7"/>
      <c r="J576" s="7">
        <f>H576+I576</f>
        <v>1588709.4</v>
      </c>
      <c r="K576" s="7">
        <f>270993.4-4730.1+27272.7-6764.8</f>
        <v>286771.20000000001</v>
      </c>
      <c r="L576" s="7">
        <f>J576+K576</f>
        <v>1875480.6</v>
      </c>
      <c r="M576" s="40">
        <f>15799.1+0.1</f>
        <v>15799.2</v>
      </c>
      <c r="N576" s="7">
        <v>1891279.8</v>
      </c>
      <c r="O576" s="7">
        <v>1891279.8</v>
      </c>
      <c r="P576" s="349">
        <v>1891279.8</v>
      </c>
      <c r="Q576" s="257">
        <v>100</v>
      </c>
    </row>
    <row r="577" spans="1:17" s="21" customFormat="1">
      <c r="A577" s="9" t="s">
        <v>1045</v>
      </c>
      <c r="B577" s="10" t="s">
        <v>503</v>
      </c>
      <c r="C577" s="10" t="s">
        <v>9</v>
      </c>
      <c r="D577" s="10" t="s">
        <v>26</v>
      </c>
      <c r="E577" s="10" t="s">
        <v>81</v>
      </c>
      <c r="F577" s="10"/>
      <c r="G577" s="11"/>
      <c r="H577" s="31">
        <f t="shared" ref="H577:M578" si="216">H578</f>
        <v>0</v>
      </c>
      <c r="I577" s="31">
        <f t="shared" si="216"/>
        <v>68946.5</v>
      </c>
      <c r="J577" s="31">
        <f t="shared" si="216"/>
        <v>68946.5</v>
      </c>
      <c r="K577" s="31">
        <f t="shared" si="216"/>
        <v>19394.3</v>
      </c>
      <c r="L577" s="31">
        <f t="shared" si="216"/>
        <v>88340.800000000003</v>
      </c>
      <c r="M577" s="39">
        <f t="shared" si="216"/>
        <v>200</v>
      </c>
      <c r="N577" s="31">
        <v>88540.800000000003</v>
      </c>
      <c r="O577" s="36">
        <v>88540.800000000003</v>
      </c>
      <c r="P577" s="350">
        <v>88540.800000000003</v>
      </c>
      <c r="Q577" s="257">
        <v>100</v>
      </c>
    </row>
    <row r="578" spans="1:17" s="21" customFormat="1">
      <c r="A578" s="54" t="s">
        <v>789</v>
      </c>
      <c r="B578" s="10" t="s">
        <v>503</v>
      </c>
      <c r="C578" s="10" t="s">
        <v>9</v>
      </c>
      <c r="D578" s="10" t="s">
        <v>26</v>
      </c>
      <c r="E578" s="10" t="s">
        <v>788</v>
      </c>
      <c r="F578" s="10"/>
      <c r="G578" s="11"/>
      <c r="H578" s="31">
        <f t="shared" si="216"/>
        <v>0</v>
      </c>
      <c r="I578" s="31">
        <f t="shared" si="216"/>
        <v>68946.5</v>
      </c>
      <c r="J578" s="31">
        <f t="shared" si="216"/>
        <v>68946.5</v>
      </c>
      <c r="K578" s="31">
        <f t="shared" si="216"/>
        <v>19394.3</v>
      </c>
      <c r="L578" s="31">
        <f t="shared" si="216"/>
        <v>88340.800000000003</v>
      </c>
      <c r="M578" s="39">
        <f t="shared" si="216"/>
        <v>200</v>
      </c>
      <c r="N578" s="31">
        <v>88540.800000000003</v>
      </c>
      <c r="O578" s="36">
        <v>88540.800000000003</v>
      </c>
      <c r="P578" s="350">
        <v>88540.800000000003</v>
      </c>
      <c r="Q578" s="257">
        <v>100</v>
      </c>
    </row>
    <row r="579" spans="1:17" s="21" customFormat="1" ht="47.25">
      <c r="A579" s="8" t="s">
        <v>438</v>
      </c>
      <c r="B579" s="10" t="s">
        <v>503</v>
      </c>
      <c r="C579" s="10" t="s">
        <v>9</v>
      </c>
      <c r="D579" s="10" t="s">
        <v>26</v>
      </c>
      <c r="E579" s="10" t="s">
        <v>788</v>
      </c>
      <c r="F579" s="10" t="s">
        <v>385</v>
      </c>
      <c r="G579" s="11"/>
      <c r="H579" s="31"/>
      <c r="I579" s="7">
        <v>68946.5</v>
      </c>
      <c r="J579" s="7">
        <f>H579+I579</f>
        <v>68946.5</v>
      </c>
      <c r="K579" s="7">
        <f>287+19107.3</f>
        <v>19394.3</v>
      </c>
      <c r="L579" s="7">
        <f>J579+K579</f>
        <v>88340.800000000003</v>
      </c>
      <c r="M579" s="40">
        <v>200</v>
      </c>
      <c r="N579" s="7">
        <v>88540.800000000003</v>
      </c>
      <c r="O579" s="7">
        <v>88540.800000000003</v>
      </c>
      <c r="P579" s="349">
        <v>88540.800000000003</v>
      </c>
      <c r="Q579" s="257">
        <v>100</v>
      </c>
    </row>
    <row r="580" spans="1:17" s="21" customFormat="1">
      <c r="A580" s="33" t="s">
        <v>766</v>
      </c>
      <c r="B580" s="10" t="s">
        <v>503</v>
      </c>
      <c r="C580" s="10" t="s">
        <v>9</v>
      </c>
      <c r="D580" s="10" t="s">
        <v>26</v>
      </c>
      <c r="E580" s="10" t="s">
        <v>765</v>
      </c>
      <c r="F580" s="10"/>
      <c r="G580" s="11"/>
      <c r="H580" s="31">
        <f t="shared" ref="H580:M580" si="217">H581</f>
        <v>0</v>
      </c>
      <c r="I580" s="31">
        <f t="shared" si="217"/>
        <v>41538.300000000003</v>
      </c>
      <c r="J580" s="31">
        <f t="shared" si="217"/>
        <v>41538.300000000003</v>
      </c>
      <c r="K580" s="31">
        <f t="shared" si="217"/>
        <v>0</v>
      </c>
      <c r="L580" s="31">
        <f t="shared" si="217"/>
        <v>41538.300000000003</v>
      </c>
      <c r="M580" s="39">
        <f t="shared" si="217"/>
        <v>-3858.3</v>
      </c>
      <c r="N580" s="31">
        <v>37680</v>
      </c>
      <c r="O580" s="36">
        <v>37680</v>
      </c>
      <c r="P580" s="350">
        <v>37680</v>
      </c>
      <c r="Q580" s="257">
        <v>100</v>
      </c>
    </row>
    <row r="581" spans="1:17" s="21" customFormat="1">
      <c r="A581" s="8" t="s">
        <v>435</v>
      </c>
      <c r="B581" s="10" t="s">
        <v>503</v>
      </c>
      <c r="C581" s="10" t="s">
        <v>9</v>
      </c>
      <c r="D581" s="10" t="s">
        <v>26</v>
      </c>
      <c r="E581" s="10" t="s">
        <v>765</v>
      </c>
      <c r="F581" s="10" t="s">
        <v>432</v>
      </c>
      <c r="G581" s="11"/>
      <c r="H581" s="31"/>
      <c r="I581" s="7">
        <v>41538.300000000003</v>
      </c>
      <c r="J581" s="7">
        <f>H581+I581</f>
        <v>41538.300000000003</v>
      </c>
      <c r="K581" s="7"/>
      <c r="L581" s="7">
        <f>J581+K581</f>
        <v>41538.300000000003</v>
      </c>
      <c r="M581" s="40">
        <v>-3858.3</v>
      </c>
      <c r="N581" s="7">
        <v>37680</v>
      </c>
      <c r="O581" s="7">
        <v>37680</v>
      </c>
      <c r="P581" s="349">
        <v>37680</v>
      </c>
      <c r="Q581" s="257">
        <v>100</v>
      </c>
    </row>
    <row r="582" spans="1:17" s="12" customFormat="1">
      <c r="A582" s="8" t="s">
        <v>17</v>
      </c>
      <c r="B582" s="10" t="s">
        <v>503</v>
      </c>
      <c r="C582" s="10" t="s">
        <v>9</v>
      </c>
      <c r="D582" s="10" t="s">
        <v>26</v>
      </c>
      <c r="E582" s="10" t="s">
        <v>18</v>
      </c>
      <c r="F582" s="10"/>
      <c r="G582" s="11">
        <v>13449.7</v>
      </c>
      <c r="H582" s="11">
        <v>50870</v>
      </c>
      <c r="I582" s="7" t="e">
        <f t="shared" ref="I582:M582" si="218">I583+I585</f>
        <v>#REF!</v>
      </c>
      <c r="J582" s="7">
        <f t="shared" si="218"/>
        <v>50870</v>
      </c>
      <c r="K582" s="7">
        <f t="shared" si="218"/>
        <v>23996.1</v>
      </c>
      <c r="L582" s="7">
        <f t="shared" si="218"/>
        <v>74866.100000000006</v>
      </c>
      <c r="M582" s="40">
        <f t="shared" si="218"/>
        <v>0</v>
      </c>
      <c r="N582" s="7">
        <v>74866.100000000006</v>
      </c>
      <c r="O582" s="7">
        <v>74866.100000000006</v>
      </c>
      <c r="P582" s="349">
        <v>74866.100000000006</v>
      </c>
      <c r="Q582" s="257">
        <v>100</v>
      </c>
    </row>
    <row r="583" spans="1:17" s="12" customFormat="1" ht="31.5">
      <c r="A583" s="8" t="s">
        <v>658</v>
      </c>
      <c r="B583" s="10" t="s">
        <v>503</v>
      </c>
      <c r="C583" s="10" t="s">
        <v>9</v>
      </c>
      <c r="D583" s="10" t="s">
        <v>26</v>
      </c>
      <c r="E583" s="10" t="s">
        <v>496</v>
      </c>
      <c r="F583" s="10"/>
      <c r="G583" s="11">
        <v>1013</v>
      </c>
      <c r="H583" s="11">
        <v>22113</v>
      </c>
      <c r="I583" s="7">
        <f t="shared" ref="I583:M583" si="219">I584</f>
        <v>0</v>
      </c>
      <c r="J583" s="7">
        <f t="shared" si="219"/>
        <v>22113</v>
      </c>
      <c r="K583" s="7">
        <f t="shared" si="219"/>
        <v>0</v>
      </c>
      <c r="L583" s="7">
        <f t="shared" si="219"/>
        <v>22113</v>
      </c>
      <c r="M583" s="40">
        <f t="shared" si="219"/>
        <v>0</v>
      </c>
      <c r="N583" s="7">
        <v>22113</v>
      </c>
      <c r="O583" s="7">
        <v>22113</v>
      </c>
      <c r="P583" s="349">
        <v>22113</v>
      </c>
      <c r="Q583" s="257">
        <v>100</v>
      </c>
    </row>
    <row r="584" spans="1:17" s="12" customFormat="1" ht="47.25">
      <c r="A584" s="8" t="s">
        <v>438</v>
      </c>
      <c r="B584" s="10" t="s">
        <v>503</v>
      </c>
      <c r="C584" s="10" t="s">
        <v>9</v>
      </c>
      <c r="D584" s="10" t="s">
        <v>26</v>
      </c>
      <c r="E584" s="10" t="s">
        <v>496</v>
      </c>
      <c r="F584" s="10" t="s">
        <v>385</v>
      </c>
      <c r="G584" s="11">
        <v>1013</v>
      </c>
      <c r="H584" s="31">
        <v>22113</v>
      </c>
      <c r="I584" s="7"/>
      <c r="J584" s="7">
        <f>H584+I584</f>
        <v>22113</v>
      </c>
      <c r="K584" s="7"/>
      <c r="L584" s="7">
        <f>J584+K584</f>
        <v>22113</v>
      </c>
      <c r="M584" s="40"/>
      <c r="N584" s="7">
        <v>22113</v>
      </c>
      <c r="O584" s="7">
        <v>22113</v>
      </c>
      <c r="P584" s="349">
        <v>22113</v>
      </c>
      <c r="Q584" s="257">
        <v>100</v>
      </c>
    </row>
    <row r="585" spans="1:17" s="12" customFormat="1" ht="31.5">
      <c r="A585" s="8" t="s">
        <v>666</v>
      </c>
      <c r="B585" s="10" t="s">
        <v>503</v>
      </c>
      <c r="C585" s="10" t="s">
        <v>9</v>
      </c>
      <c r="D585" s="10" t="s">
        <v>26</v>
      </c>
      <c r="E585" s="10" t="s">
        <v>82</v>
      </c>
      <c r="F585" s="10"/>
      <c r="G585" s="11">
        <v>12436.7</v>
      </c>
      <c r="H585" s="11">
        <v>28757</v>
      </c>
      <c r="I585" s="7" t="e">
        <f>#REF!+I586+I588</f>
        <v>#REF!</v>
      </c>
      <c r="J585" s="7">
        <f t="shared" ref="J585:M585" si="220">J586+J588+J590</f>
        <v>28757</v>
      </c>
      <c r="K585" s="7">
        <f t="shared" si="220"/>
        <v>23996.1</v>
      </c>
      <c r="L585" s="7">
        <f t="shared" si="220"/>
        <v>52753.1</v>
      </c>
      <c r="M585" s="40">
        <f t="shared" si="220"/>
        <v>0</v>
      </c>
      <c r="N585" s="7">
        <v>52753.1</v>
      </c>
      <c r="O585" s="7">
        <v>52753.1</v>
      </c>
      <c r="P585" s="349">
        <v>52753.1</v>
      </c>
      <c r="Q585" s="257">
        <v>100</v>
      </c>
    </row>
    <row r="586" spans="1:17" s="12" customFormat="1" ht="31.5">
      <c r="A586" s="8" t="s">
        <v>659</v>
      </c>
      <c r="B586" s="10" t="s">
        <v>503</v>
      </c>
      <c r="C586" s="10" t="s">
        <v>9</v>
      </c>
      <c r="D586" s="10" t="s">
        <v>26</v>
      </c>
      <c r="E586" s="10" t="s">
        <v>660</v>
      </c>
      <c r="F586" s="10"/>
      <c r="G586" s="11">
        <v>10000</v>
      </c>
      <c r="H586" s="11">
        <v>10000</v>
      </c>
      <c r="I586" s="7">
        <f t="shared" ref="I586:M586" si="221">I587</f>
        <v>1000</v>
      </c>
      <c r="J586" s="7">
        <f t="shared" si="221"/>
        <v>11000</v>
      </c>
      <c r="K586" s="7">
        <f t="shared" si="221"/>
        <v>3657.4</v>
      </c>
      <c r="L586" s="7">
        <f t="shared" si="221"/>
        <v>14657.4</v>
      </c>
      <c r="M586" s="40">
        <f t="shared" si="221"/>
        <v>0</v>
      </c>
      <c r="N586" s="7">
        <v>14657.4</v>
      </c>
      <c r="O586" s="7">
        <v>14657.4</v>
      </c>
      <c r="P586" s="349">
        <v>14657.4</v>
      </c>
      <c r="Q586" s="257">
        <v>100</v>
      </c>
    </row>
    <row r="587" spans="1:17" s="12" customFormat="1" ht="47.25">
      <c r="A587" s="8" t="s">
        <v>438</v>
      </c>
      <c r="B587" s="10" t="s">
        <v>503</v>
      </c>
      <c r="C587" s="10" t="s">
        <v>9</v>
      </c>
      <c r="D587" s="10" t="s">
        <v>26</v>
      </c>
      <c r="E587" s="10" t="s">
        <v>660</v>
      </c>
      <c r="F587" s="10" t="s">
        <v>385</v>
      </c>
      <c r="G587" s="11">
        <v>10000</v>
      </c>
      <c r="H587" s="31">
        <v>10000</v>
      </c>
      <c r="I587" s="7">
        <v>1000</v>
      </c>
      <c r="J587" s="7">
        <f>H587+I587</f>
        <v>11000</v>
      </c>
      <c r="K587" s="7">
        <f>2157.4+1500</f>
        <v>3657.4</v>
      </c>
      <c r="L587" s="7">
        <f>J587+K587</f>
        <v>14657.4</v>
      </c>
      <c r="M587" s="40"/>
      <c r="N587" s="7">
        <v>14657.4</v>
      </c>
      <c r="O587" s="7">
        <v>14657.4</v>
      </c>
      <c r="P587" s="349">
        <v>14657.4</v>
      </c>
      <c r="Q587" s="257">
        <v>100</v>
      </c>
    </row>
    <row r="588" spans="1:17" s="12" customFormat="1" ht="31.5">
      <c r="A588" s="8" t="s">
        <v>744</v>
      </c>
      <c r="B588" s="10" t="s">
        <v>503</v>
      </c>
      <c r="C588" s="10" t="s">
        <v>9</v>
      </c>
      <c r="D588" s="10" t="s">
        <v>26</v>
      </c>
      <c r="E588" s="10" t="s">
        <v>745</v>
      </c>
      <c r="F588" s="10"/>
      <c r="G588" s="11">
        <v>1436.7</v>
      </c>
      <c r="H588" s="11">
        <v>17757</v>
      </c>
      <c r="I588" s="7">
        <f t="shared" ref="I588:M588" si="222">I589</f>
        <v>0</v>
      </c>
      <c r="J588" s="7">
        <f t="shared" si="222"/>
        <v>17757</v>
      </c>
      <c r="K588" s="7">
        <f t="shared" si="222"/>
        <v>6222</v>
      </c>
      <c r="L588" s="7">
        <f t="shared" si="222"/>
        <v>23979</v>
      </c>
      <c r="M588" s="40">
        <f t="shared" si="222"/>
        <v>0</v>
      </c>
      <c r="N588" s="7">
        <v>23979</v>
      </c>
      <c r="O588" s="7">
        <v>23979</v>
      </c>
      <c r="P588" s="349">
        <v>23979</v>
      </c>
      <c r="Q588" s="257">
        <v>100</v>
      </c>
    </row>
    <row r="589" spans="1:17" s="12" customFormat="1" ht="47.25">
      <c r="A589" s="8" t="s">
        <v>438</v>
      </c>
      <c r="B589" s="10" t="s">
        <v>503</v>
      </c>
      <c r="C589" s="10" t="s">
        <v>9</v>
      </c>
      <c r="D589" s="10" t="s">
        <v>26</v>
      </c>
      <c r="E589" s="10" t="s">
        <v>745</v>
      </c>
      <c r="F589" s="10" t="s">
        <v>385</v>
      </c>
      <c r="G589" s="11">
        <v>1436.7</v>
      </c>
      <c r="H589" s="31">
        <v>17757</v>
      </c>
      <c r="I589" s="7"/>
      <c r="J589" s="7">
        <f>H589+I589</f>
        <v>17757</v>
      </c>
      <c r="K589" s="7">
        <v>6222</v>
      </c>
      <c r="L589" s="7">
        <f>J589+K589</f>
        <v>23979</v>
      </c>
      <c r="M589" s="40"/>
      <c r="N589" s="7">
        <v>23979</v>
      </c>
      <c r="O589" s="7">
        <v>23979</v>
      </c>
      <c r="P589" s="349">
        <v>23979</v>
      </c>
      <c r="Q589" s="257">
        <v>100</v>
      </c>
    </row>
    <row r="590" spans="1:17" s="12" customFormat="1" ht="31.5">
      <c r="A590" s="8" t="s">
        <v>743</v>
      </c>
      <c r="B590" s="10" t="s">
        <v>503</v>
      </c>
      <c r="C590" s="10" t="s">
        <v>9</v>
      </c>
      <c r="D590" s="10" t="s">
        <v>26</v>
      </c>
      <c r="E590" s="10" t="s">
        <v>742</v>
      </c>
      <c r="F590" s="10"/>
      <c r="G590" s="11"/>
      <c r="H590" s="31"/>
      <c r="I590" s="7"/>
      <c r="J590" s="7">
        <f t="shared" ref="J590:M590" si="223">J591</f>
        <v>0</v>
      </c>
      <c r="K590" s="7">
        <f t="shared" si="223"/>
        <v>14116.7</v>
      </c>
      <c r="L590" s="7">
        <f t="shared" si="223"/>
        <v>14116.7</v>
      </c>
      <c r="M590" s="40">
        <f t="shared" si="223"/>
        <v>0</v>
      </c>
      <c r="N590" s="7">
        <v>14116.7</v>
      </c>
      <c r="O590" s="7">
        <v>14116.7</v>
      </c>
      <c r="P590" s="349">
        <v>14116.7</v>
      </c>
      <c r="Q590" s="257">
        <v>100</v>
      </c>
    </row>
    <row r="591" spans="1:17" s="12" customFormat="1" ht="47.25">
      <c r="A591" s="8" t="s">
        <v>438</v>
      </c>
      <c r="B591" s="10" t="s">
        <v>503</v>
      </c>
      <c r="C591" s="10" t="s">
        <v>9</v>
      </c>
      <c r="D591" s="10" t="s">
        <v>26</v>
      </c>
      <c r="E591" s="10" t="s">
        <v>742</v>
      </c>
      <c r="F591" s="10" t="s">
        <v>385</v>
      </c>
      <c r="G591" s="11"/>
      <c r="H591" s="31"/>
      <c r="I591" s="7"/>
      <c r="J591" s="7"/>
      <c r="K591" s="7">
        <f>7671+6381.6+64.1</f>
        <v>14116.7</v>
      </c>
      <c r="L591" s="7">
        <f>J591+K591</f>
        <v>14116.7</v>
      </c>
      <c r="M591" s="40"/>
      <c r="N591" s="7">
        <v>14116.7</v>
      </c>
      <c r="O591" s="7">
        <v>14116.7</v>
      </c>
      <c r="P591" s="349">
        <v>14116.7</v>
      </c>
      <c r="Q591" s="257">
        <v>100</v>
      </c>
    </row>
    <row r="592" spans="1:17" s="30" customFormat="1">
      <c r="A592" s="26" t="s">
        <v>77</v>
      </c>
      <c r="B592" s="27" t="s">
        <v>503</v>
      </c>
      <c r="C592" s="27" t="s">
        <v>9</v>
      </c>
      <c r="D592" s="27" t="s">
        <v>14</v>
      </c>
      <c r="E592" s="27"/>
      <c r="F592" s="27"/>
      <c r="G592" s="28">
        <v>972.7</v>
      </c>
      <c r="H592" s="28">
        <v>10324</v>
      </c>
      <c r="I592" s="29">
        <f t="shared" ref="I592:M594" si="224">I593</f>
        <v>0</v>
      </c>
      <c r="J592" s="29">
        <f t="shared" si="224"/>
        <v>10324</v>
      </c>
      <c r="K592" s="29">
        <f t="shared" si="224"/>
        <v>-4680.1000000000004</v>
      </c>
      <c r="L592" s="29">
        <f t="shared" si="224"/>
        <v>5643.9</v>
      </c>
      <c r="M592" s="51">
        <f t="shared" si="224"/>
        <v>-0.1</v>
      </c>
      <c r="N592" s="29">
        <v>5643.8</v>
      </c>
      <c r="O592" s="29">
        <v>5643.8</v>
      </c>
      <c r="P592" s="348">
        <v>5643.8</v>
      </c>
      <c r="Q592" s="256">
        <v>100</v>
      </c>
    </row>
    <row r="593" spans="1:17" s="12" customFormat="1">
      <c r="A593" s="8" t="s">
        <v>80</v>
      </c>
      <c r="B593" s="10" t="s">
        <v>503</v>
      </c>
      <c r="C593" s="10" t="s">
        <v>9</v>
      </c>
      <c r="D593" s="10" t="s">
        <v>14</v>
      </c>
      <c r="E593" s="10" t="s">
        <v>81</v>
      </c>
      <c r="F593" s="10"/>
      <c r="G593" s="11">
        <v>972.7</v>
      </c>
      <c r="H593" s="11">
        <v>10324</v>
      </c>
      <c r="I593" s="7">
        <f t="shared" si="224"/>
        <v>0</v>
      </c>
      <c r="J593" s="7">
        <f t="shared" si="224"/>
        <v>10324</v>
      </c>
      <c r="K593" s="7">
        <f t="shared" si="224"/>
        <v>-4680.1000000000004</v>
      </c>
      <c r="L593" s="7">
        <f t="shared" si="224"/>
        <v>5643.9</v>
      </c>
      <c r="M593" s="40">
        <f t="shared" si="224"/>
        <v>-0.1</v>
      </c>
      <c r="N593" s="7">
        <v>5643.8</v>
      </c>
      <c r="O593" s="7">
        <v>5643.8</v>
      </c>
      <c r="P593" s="349">
        <v>5643.8</v>
      </c>
      <c r="Q593" s="257">
        <v>100</v>
      </c>
    </row>
    <row r="594" spans="1:17" s="21" customFormat="1" ht="63">
      <c r="A594" s="8" t="s">
        <v>176</v>
      </c>
      <c r="B594" s="10" t="s">
        <v>503</v>
      </c>
      <c r="C594" s="10" t="s">
        <v>9</v>
      </c>
      <c r="D594" s="10" t="s">
        <v>14</v>
      </c>
      <c r="E594" s="10" t="s">
        <v>177</v>
      </c>
      <c r="F594" s="10"/>
      <c r="G594" s="11">
        <v>972.7</v>
      </c>
      <c r="H594" s="11">
        <v>10324</v>
      </c>
      <c r="I594" s="7">
        <f t="shared" si="224"/>
        <v>0</v>
      </c>
      <c r="J594" s="7">
        <f t="shared" si="224"/>
        <v>10324</v>
      </c>
      <c r="K594" s="7">
        <f t="shared" si="224"/>
        <v>-4680.1000000000004</v>
      </c>
      <c r="L594" s="7">
        <f t="shared" si="224"/>
        <v>5643.9</v>
      </c>
      <c r="M594" s="40">
        <f t="shared" si="224"/>
        <v>-0.1</v>
      </c>
      <c r="N594" s="7">
        <v>5643.8</v>
      </c>
      <c r="O594" s="7">
        <v>5643.8</v>
      </c>
      <c r="P594" s="349">
        <v>5643.8</v>
      </c>
      <c r="Q594" s="257">
        <v>100</v>
      </c>
    </row>
    <row r="595" spans="1:17" s="21" customFormat="1">
      <c r="A595" s="8" t="s">
        <v>435</v>
      </c>
      <c r="B595" s="10" t="s">
        <v>503</v>
      </c>
      <c r="C595" s="10" t="s">
        <v>9</v>
      </c>
      <c r="D595" s="10" t="s">
        <v>14</v>
      </c>
      <c r="E595" s="10" t="s">
        <v>177</v>
      </c>
      <c r="F595" s="10" t="s">
        <v>432</v>
      </c>
      <c r="G595" s="11">
        <v>972.7</v>
      </c>
      <c r="H595" s="31">
        <v>10324</v>
      </c>
      <c r="I595" s="7"/>
      <c r="J595" s="7">
        <f>H595+I595</f>
        <v>10324</v>
      </c>
      <c r="K595" s="7">
        <f>-4247.9-432.2</f>
        <v>-4680.1000000000004</v>
      </c>
      <c r="L595" s="7">
        <f>J595+K595</f>
        <v>5643.9</v>
      </c>
      <c r="M595" s="40">
        <v>-0.1</v>
      </c>
      <c r="N595" s="7">
        <v>5643.8</v>
      </c>
      <c r="O595" s="7">
        <v>5643.8</v>
      </c>
      <c r="P595" s="349">
        <v>5643.8</v>
      </c>
      <c r="Q595" s="257">
        <v>100</v>
      </c>
    </row>
    <row r="596" spans="1:17" s="30" customFormat="1">
      <c r="A596" s="26" t="s">
        <v>45</v>
      </c>
      <c r="B596" s="27" t="s">
        <v>503</v>
      </c>
      <c r="C596" s="27">
        <v>10</v>
      </c>
      <c r="D596" s="27"/>
      <c r="E596" s="27"/>
      <c r="F596" s="27"/>
      <c r="G596" s="28">
        <v>50460.6</v>
      </c>
      <c r="H596" s="28">
        <v>306915.40000000002</v>
      </c>
      <c r="I596" s="29" t="e">
        <f t="shared" ref="I596:M596" si="225">I597+I605</f>
        <v>#REF!</v>
      </c>
      <c r="J596" s="29" t="e">
        <f t="shared" si="225"/>
        <v>#REF!</v>
      </c>
      <c r="K596" s="29" t="e">
        <f t="shared" si="225"/>
        <v>#REF!</v>
      </c>
      <c r="L596" s="29" t="e">
        <f t="shared" si="225"/>
        <v>#REF!</v>
      </c>
      <c r="M596" s="51" t="e">
        <f t="shared" si="225"/>
        <v>#REF!</v>
      </c>
      <c r="N596" s="29">
        <v>126446.5</v>
      </c>
      <c r="O596" s="29">
        <v>126446.5</v>
      </c>
      <c r="P596" s="348">
        <v>125081.2</v>
      </c>
      <c r="Q596" s="256">
        <v>98.92</v>
      </c>
    </row>
    <row r="597" spans="1:17" s="30" customFormat="1">
      <c r="A597" s="26" t="s">
        <v>46</v>
      </c>
      <c r="B597" s="27" t="s">
        <v>503</v>
      </c>
      <c r="C597" s="27" t="s">
        <v>140</v>
      </c>
      <c r="D597" s="27" t="s">
        <v>28</v>
      </c>
      <c r="E597" s="27"/>
      <c r="F597" s="27"/>
      <c r="G597" s="28">
        <v>4500</v>
      </c>
      <c r="H597" s="28">
        <v>4500</v>
      </c>
      <c r="I597" s="29">
        <f t="shared" ref="I597:M597" si="226">I601+I598</f>
        <v>175.1</v>
      </c>
      <c r="J597" s="29">
        <f t="shared" si="226"/>
        <v>4675.1000000000004</v>
      </c>
      <c r="K597" s="29">
        <f t="shared" si="226"/>
        <v>5509.6</v>
      </c>
      <c r="L597" s="29">
        <f t="shared" si="226"/>
        <v>10184.700000000001</v>
      </c>
      <c r="M597" s="51">
        <f t="shared" si="226"/>
        <v>0</v>
      </c>
      <c r="N597" s="29">
        <v>10184.700000000001</v>
      </c>
      <c r="O597" s="29">
        <v>10184.700000000001</v>
      </c>
      <c r="P597" s="348">
        <v>10184.700000000001</v>
      </c>
      <c r="Q597" s="256">
        <v>100</v>
      </c>
    </row>
    <row r="598" spans="1:17" s="30" customFormat="1">
      <c r="A598" s="9" t="s">
        <v>773</v>
      </c>
      <c r="B598" s="10" t="s">
        <v>503</v>
      </c>
      <c r="C598" s="10" t="s">
        <v>140</v>
      </c>
      <c r="D598" s="10" t="s">
        <v>28</v>
      </c>
      <c r="E598" s="10" t="s">
        <v>772</v>
      </c>
      <c r="F598" s="27"/>
      <c r="G598" s="28"/>
      <c r="H598" s="11">
        <f t="shared" ref="H598:M599" si="227">H599</f>
        <v>0</v>
      </c>
      <c r="I598" s="11">
        <f t="shared" si="227"/>
        <v>74.8</v>
      </c>
      <c r="J598" s="11">
        <f t="shared" si="227"/>
        <v>74.8</v>
      </c>
      <c r="K598" s="52">
        <f t="shared" si="227"/>
        <v>5299.6</v>
      </c>
      <c r="L598" s="52">
        <f t="shared" si="227"/>
        <v>5374.4</v>
      </c>
      <c r="M598" s="53">
        <f t="shared" si="227"/>
        <v>0</v>
      </c>
      <c r="N598" s="52">
        <v>5374.4</v>
      </c>
      <c r="O598" s="52">
        <v>5374.4</v>
      </c>
      <c r="P598" s="349">
        <v>5374.4</v>
      </c>
      <c r="Q598" s="257">
        <v>100</v>
      </c>
    </row>
    <row r="599" spans="1:17" s="30" customFormat="1">
      <c r="A599" s="9" t="s">
        <v>774</v>
      </c>
      <c r="B599" s="10" t="s">
        <v>503</v>
      </c>
      <c r="C599" s="10" t="s">
        <v>140</v>
      </c>
      <c r="D599" s="10" t="s">
        <v>28</v>
      </c>
      <c r="E599" s="10" t="s">
        <v>771</v>
      </c>
      <c r="F599" s="10"/>
      <c r="G599" s="11"/>
      <c r="H599" s="11">
        <f t="shared" si="227"/>
        <v>0</v>
      </c>
      <c r="I599" s="11">
        <f t="shared" si="227"/>
        <v>74.8</v>
      </c>
      <c r="J599" s="11">
        <f t="shared" si="227"/>
        <v>74.8</v>
      </c>
      <c r="K599" s="52">
        <f t="shared" si="227"/>
        <v>5299.6</v>
      </c>
      <c r="L599" s="52">
        <f t="shared" si="227"/>
        <v>5374.4</v>
      </c>
      <c r="M599" s="53">
        <f t="shared" si="227"/>
        <v>0</v>
      </c>
      <c r="N599" s="52">
        <v>5374.4</v>
      </c>
      <c r="O599" s="52">
        <v>5374.4</v>
      </c>
      <c r="P599" s="349">
        <v>5374.4</v>
      </c>
      <c r="Q599" s="257">
        <v>100</v>
      </c>
    </row>
    <row r="600" spans="1:17" s="30" customFormat="1" ht="47.25">
      <c r="A600" s="8" t="s">
        <v>438</v>
      </c>
      <c r="B600" s="10" t="s">
        <v>503</v>
      </c>
      <c r="C600" s="10" t="s">
        <v>140</v>
      </c>
      <c r="D600" s="10" t="s">
        <v>28</v>
      </c>
      <c r="E600" s="10" t="s">
        <v>771</v>
      </c>
      <c r="F600" s="10" t="s">
        <v>385</v>
      </c>
      <c r="G600" s="11"/>
      <c r="H600" s="11"/>
      <c r="I600" s="7">
        <v>74.8</v>
      </c>
      <c r="J600" s="7">
        <f>H600+I600</f>
        <v>74.8</v>
      </c>
      <c r="K600" s="7">
        <v>5299.6</v>
      </c>
      <c r="L600" s="7">
        <f>J600+K600</f>
        <v>5374.4</v>
      </c>
      <c r="M600" s="40"/>
      <c r="N600" s="7">
        <v>5374.4</v>
      </c>
      <c r="O600" s="7">
        <v>5374.4</v>
      </c>
      <c r="P600" s="349">
        <v>5374.4</v>
      </c>
      <c r="Q600" s="257">
        <v>100</v>
      </c>
    </row>
    <row r="601" spans="1:17" s="12" customFormat="1">
      <c r="A601" s="8" t="s">
        <v>17</v>
      </c>
      <c r="B601" s="10" t="s">
        <v>503</v>
      </c>
      <c r="C601" s="10" t="s">
        <v>140</v>
      </c>
      <c r="D601" s="10" t="s">
        <v>28</v>
      </c>
      <c r="E601" s="10" t="s">
        <v>18</v>
      </c>
      <c r="F601" s="10"/>
      <c r="G601" s="11">
        <v>4500</v>
      </c>
      <c r="H601" s="11">
        <v>4500</v>
      </c>
      <c r="I601" s="7">
        <f t="shared" ref="I601:M603" si="228">I602</f>
        <v>100.3</v>
      </c>
      <c r="J601" s="7">
        <f t="shared" si="228"/>
        <v>4600.3</v>
      </c>
      <c r="K601" s="7">
        <f t="shared" si="228"/>
        <v>210</v>
      </c>
      <c r="L601" s="7">
        <f t="shared" si="228"/>
        <v>4810.3</v>
      </c>
      <c r="M601" s="40">
        <f t="shared" si="228"/>
        <v>0</v>
      </c>
      <c r="N601" s="7">
        <v>4810.3</v>
      </c>
      <c r="O601" s="7">
        <v>4810.3</v>
      </c>
      <c r="P601" s="349">
        <v>4810.3</v>
      </c>
      <c r="Q601" s="257">
        <v>100</v>
      </c>
    </row>
    <row r="602" spans="1:17" s="12" customFormat="1">
      <c r="A602" s="8" t="s">
        <v>734</v>
      </c>
      <c r="B602" s="10" t="s">
        <v>503</v>
      </c>
      <c r="C602" s="10" t="s">
        <v>140</v>
      </c>
      <c r="D602" s="10" t="s">
        <v>28</v>
      </c>
      <c r="E602" s="10" t="s">
        <v>84</v>
      </c>
      <c r="F602" s="10"/>
      <c r="G602" s="11">
        <v>4500</v>
      </c>
      <c r="H602" s="11">
        <v>4500</v>
      </c>
      <c r="I602" s="7">
        <f t="shared" si="228"/>
        <v>100.3</v>
      </c>
      <c r="J602" s="7">
        <f t="shared" si="228"/>
        <v>4600.3</v>
      </c>
      <c r="K602" s="7">
        <f t="shared" si="228"/>
        <v>210</v>
      </c>
      <c r="L602" s="7">
        <f t="shared" si="228"/>
        <v>4810.3</v>
      </c>
      <c r="M602" s="40">
        <f t="shared" si="228"/>
        <v>0</v>
      </c>
      <c r="N602" s="7">
        <v>4810.3</v>
      </c>
      <c r="O602" s="7">
        <v>4810.3</v>
      </c>
      <c r="P602" s="349">
        <v>4810.3</v>
      </c>
      <c r="Q602" s="257">
        <v>100</v>
      </c>
    </row>
    <row r="603" spans="1:17" s="12" customFormat="1">
      <c r="A603" s="8" t="s">
        <v>85</v>
      </c>
      <c r="B603" s="10" t="s">
        <v>503</v>
      </c>
      <c r="C603" s="10" t="s">
        <v>140</v>
      </c>
      <c r="D603" s="10" t="s">
        <v>28</v>
      </c>
      <c r="E603" s="10" t="s">
        <v>86</v>
      </c>
      <c r="F603" s="10"/>
      <c r="G603" s="11">
        <v>4500</v>
      </c>
      <c r="H603" s="11">
        <v>4500</v>
      </c>
      <c r="I603" s="7">
        <f t="shared" si="228"/>
        <v>100.3</v>
      </c>
      <c r="J603" s="7">
        <f t="shared" si="228"/>
        <v>4600.3</v>
      </c>
      <c r="K603" s="7">
        <f t="shared" si="228"/>
        <v>210</v>
      </c>
      <c r="L603" s="7">
        <f t="shared" si="228"/>
        <v>4810.3</v>
      </c>
      <c r="M603" s="40">
        <f t="shared" si="228"/>
        <v>0</v>
      </c>
      <c r="N603" s="7">
        <v>4810.3</v>
      </c>
      <c r="O603" s="7">
        <v>4810.3</v>
      </c>
      <c r="P603" s="349">
        <v>4810.3</v>
      </c>
      <c r="Q603" s="257">
        <v>100</v>
      </c>
    </row>
    <row r="604" spans="1:17" s="21" customFormat="1" ht="47.25">
      <c r="A604" s="8" t="s">
        <v>438</v>
      </c>
      <c r="B604" s="10" t="s">
        <v>503</v>
      </c>
      <c r="C604" s="10" t="s">
        <v>140</v>
      </c>
      <c r="D604" s="10" t="s">
        <v>28</v>
      </c>
      <c r="E604" s="10" t="s">
        <v>86</v>
      </c>
      <c r="F604" s="10" t="s">
        <v>385</v>
      </c>
      <c r="G604" s="11">
        <v>4500</v>
      </c>
      <c r="H604" s="31">
        <v>4500</v>
      </c>
      <c r="I604" s="7">
        <f>70.5+29.8</f>
        <v>100.3</v>
      </c>
      <c r="J604" s="7">
        <f>H604+I604</f>
        <v>4600.3</v>
      </c>
      <c r="K604" s="7">
        <v>210</v>
      </c>
      <c r="L604" s="7">
        <f>J604+K604</f>
        <v>4810.3</v>
      </c>
      <c r="M604" s="40"/>
      <c r="N604" s="7">
        <v>4810.3</v>
      </c>
      <c r="O604" s="7">
        <v>4810.3</v>
      </c>
      <c r="P604" s="349">
        <v>4810.3</v>
      </c>
      <c r="Q604" s="257">
        <v>100</v>
      </c>
    </row>
    <row r="605" spans="1:17" s="30" customFormat="1">
      <c r="A605" s="26" t="s">
        <v>87</v>
      </c>
      <c r="B605" s="27" t="s">
        <v>503</v>
      </c>
      <c r="C605" s="27">
        <v>10</v>
      </c>
      <c r="D605" s="27" t="s">
        <v>11</v>
      </c>
      <c r="E605" s="27"/>
      <c r="F605" s="27"/>
      <c r="G605" s="28">
        <v>45960.6</v>
      </c>
      <c r="H605" s="28">
        <v>302415.40000000002</v>
      </c>
      <c r="I605" s="29" t="e">
        <f>#REF!+I608+I610+I612+I614+#REF!+#REF!</f>
        <v>#REF!</v>
      </c>
      <c r="J605" s="29" t="e">
        <f>J608+J610+J612+J614+#REF!+#REF!+J606</f>
        <v>#REF!</v>
      </c>
      <c r="K605" s="29" t="e">
        <f>K608+K610+K612+K614+#REF!+#REF!+K606</f>
        <v>#REF!</v>
      </c>
      <c r="L605" s="29" t="e">
        <f>L608+L610+L612+L614+#REF!+#REF!+L606</f>
        <v>#REF!</v>
      </c>
      <c r="M605" s="51" t="e">
        <f>M608+M610+M612+M614+#REF!+#REF!+M606</f>
        <v>#REF!</v>
      </c>
      <c r="N605" s="29">
        <v>116261.8</v>
      </c>
      <c r="O605" s="29">
        <v>116261.8</v>
      </c>
      <c r="P605" s="348">
        <v>114896.5</v>
      </c>
      <c r="Q605" s="256">
        <v>98.83</v>
      </c>
    </row>
    <row r="606" spans="1:17" s="30" customFormat="1" ht="63">
      <c r="A606" s="9" t="s">
        <v>441</v>
      </c>
      <c r="B606" s="37" t="s">
        <v>503</v>
      </c>
      <c r="C606" s="37">
        <v>10</v>
      </c>
      <c r="D606" s="37" t="s">
        <v>11</v>
      </c>
      <c r="E606" s="37" t="s">
        <v>1006</v>
      </c>
      <c r="F606" s="37"/>
      <c r="G606" s="28"/>
      <c r="H606" s="28"/>
      <c r="I606" s="29"/>
      <c r="J606" s="7">
        <f t="shared" ref="J606:M606" si="229">J607</f>
        <v>0</v>
      </c>
      <c r="K606" s="7">
        <f t="shared" si="229"/>
        <v>825</v>
      </c>
      <c r="L606" s="7">
        <f t="shared" si="229"/>
        <v>825</v>
      </c>
      <c r="M606" s="40">
        <f t="shared" si="229"/>
        <v>0</v>
      </c>
      <c r="N606" s="7">
        <v>825</v>
      </c>
      <c r="O606" s="7">
        <v>825</v>
      </c>
      <c r="P606" s="349">
        <v>825</v>
      </c>
      <c r="Q606" s="257">
        <v>100</v>
      </c>
    </row>
    <row r="607" spans="1:17" s="30" customFormat="1">
      <c r="A607" s="9" t="s">
        <v>435</v>
      </c>
      <c r="B607" s="37" t="s">
        <v>503</v>
      </c>
      <c r="C607" s="37">
        <v>10</v>
      </c>
      <c r="D607" s="37" t="s">
        <v>11</v>
      </c>
      <c r="E607" s="37" t="s">
        <v>1006</v>
      </c>
      <c r="F607" s="37" t="s">
        <v>432</v>
      </c>
      <c r="G607" s="28"/>
      <c r="H607" s="28"/>
      <c r="I607" s="29"/>
      <c r="J607" s="7"/>
      <c r="K607" s="7">
        <v>825</v>
      </c>
      <c r="L607" s="7">
        <f>J607+K607</f>
        <v>825</v>
      </c>
      <c r="M607" s="40"/>
      <c r="N607" s="7">
        <v>825</v>
      </c>
      <c r="O607" s="7">
        <v>825</v>
      </c>
      <c r="P607" s="349">
        <v>825</v>
      </c>
      <c r="Q607" s="257">
        <v>100</v>
      </c>
    </row>
    <row r="608" spans="1:17" s="12" customFormat="1" ht="63">
      <c r="A608" s="8" t="s">
        <v>441</v>
      </c>
      <c r="B608" s="10" t="s">
        <v>503</v>
      </c>
      <c r="C608" s="10" t="s">
        <v>140</v>
      </c>
      <c r="D608" s="10" t="s">
        <v>11</v>
      </c>
      <c r="E608" s="10" t="s">
        <v>183</v>
      </c>
      <c r="F608" s="10"/>
      <c r="G608" s="11">
        <v>-19543</v>
      </c>
      <c r="H608" s="11">
        <v>42200</v>
      </c>
      <c r="I608" s="7">
        <f t="shared" ref="I608:M608" si="230">I609</f>
        <v>-35262.5</v>
      </c>
      <c r="J608" s="7">
        <f t="shared" si="230"/>
        <v>6937.5</v>
      </c>
      <c r="K608" s="7">
        <f t="shared" si="230"/>
        <v>127.4</v>
      </c>
      <c r="L608" s="7">
        <f t="shared" si="230"/>
        <v>7064.9</v>
      </c>
      <c r="M608" s="40">
        <f t="shared" si="230"/>
        <v>0</v>
      </c>
      <c r="N608" s="7">
        <v>7064.9</v>
      </c>
      <c r="O608" s="7">
        <v>7064.9</v>
      </c>
      <c r="P608" s="349">
        <v>7064.9</v>
      </c>
      <c r="Q608" s="257">
        <v>100</v>
      </c>
    </row>
    <row r="609" spans="1:17" s="12" customFormat="1">
      <c r="A609" s="8" t="s">
        <v>435</v>
      </c>
      <c r="B609" s="10" t="s">
        <v>503</v>
      </c>
      <c r="C609" s="10" t="s">
        <v>140</v>
      </c>
      <c r="D609" s="10" t="s">
        <v>11</v>
      </c>
      <c r="E609" s="10" t="s">
        <v>183</v>
      </c>
      <c r="F609" s="10" t="s">
        <v>432</v>
      </c>
      <c r="G609" s="11">
        <v>-19543</v>
      </c>
      <c r="H609" s="31">
        <v>42200</v>
      </c>
      <c r="I609" s="7">
        <f>1126.9+310.6-36700</f>
        <v>-35262.5</v>
      </c>
      <c r="J609" s="7">
        <f>H609+I609</f>
        <v>6937.5</v>
      </c>
      <c r="K609" s="7">
        <f>340-212.6</f>
        <v>127.4</v>
      </c>
      <c r="L609" s="7">
        <f>J609+K609</f>
        <v>7064.9</v>
      </c>
      <c r="M609" s="40"/>
      <c r="N609" s="7">
        <v>7064.9</v>
      </c>
      <c r="O609" s="7">
        <v>7064.9</v>
      </c>
      <c r="P609" s="349">
        <v>7064.9</v>
      </c>
      <c r="Q609" s="257">
        <v>100</v>
      </c>
    </row>
    <row r="610" spans="1:17" s="12" customFormat="1" ht="78.75">
      <c r="A610" s="8" t="s">
        <v>442</v>
      </c>
      <c r="B610" s="10" t="s">
        <v>503</v>
      </c>
      <c r="C610" s="10" t="s">
        <v>140</v>
      </c>
      <c r="D610" s="10" t="s">
        <v>11</v>
      </c>
      <c r="E610" s="10" t="s">
        <v>443</v>
      </c>
      <c r="F610" s="10"/>
      <c r="G610" s="11">
        <v>-304.5</v>
      </c>
      <c r="H610" s="11">
        <v>990</v>
      </c>
      <c r="I610" s="7">
        <f t="shared" ref="I610:M610" si="231">I611</f>
        <v>0</v>
      </c>
      <c r="J610" s="7">
        <f t="shared" si="231"/>
        <v>990</v>
      </c>
      <c r="K610" s="7">
        <f t="shared" si="231"/>
        <v>-802</v>
      </c>
      <c r="L610" s="7">
        <f t="shared" si="231"/>
        <v>188</v>
      </c>
      <c r="M610" s="40">
        <f t="shared" si="231"/>
        <v>0</v>
      </c>
      <c r="N610" s="7">
        <v>188</v>
      </c>
      <c r="O610" s="7">
        <v>188</v>
      </c>
      <c r="P610" s="349">
        <v>188</v>
      </c>
      <c r="Q610" s="257">
        <v>100</v>
      </c>
    </row>
    <row r="611" spans="1:17" s="12" customFormat="1">
      <c r="A611" s="8" t="s">
        <v>435</v>
      </c>
      <c r="B611" s="10" t="s">
        <v>503</v>
      </c>
      <c r="C611" s="10" t="s">
        <v>140</v>
      </c>
      <c r="D611" s="10" t="s">
        <v>11</v>
      </c>
      <c r="E611" s="10" t="s">
        <v>443</v>
      </c>
      <c r="F611" s="10" t="s">
        <v>432</v>
      </c>
      <c r="G611" s="11">
        <v>-304.5</v>
      </c>
      <c r="H611" s="31">
        <v>990</v>
      </c>
      <c r="I611" s="7"/>
      <c r="J611" s="7">
        <f>H611+I611</f>
        <v>990</v>
      </c>
      <c r="K611" s="7">
        <v>-802</v>
      </c>
      <c r="L611" s="7">
        <f>J611+K611</f>
        <v>188</v>
      </c>
      <c r="M611" s="40"/>
      <c r="N611" s="7">
        <v>188</v>
      </c>
      <c r="O611" s="7">
        <v>188</v>
      </c>
      <c r="P611" s="349">
        <v>188</v>
      </c>
      <c r="Q611" s="257">
        <v>100</v>
      </c>
    </row>
    <row r="612" spans="1:17" s="12" customFormat="1" ht="63">
      <c r="A612" s="8" t="s">
        <v>97</v>
      </c>
      <c r="B612" s="10" t="s">
        <v>503</v>
      </c>
      <c r="C612" s="10">
        <v>10</v>
      </c>
      <c r="D612" s="10" t="s">
        <v>11</v>
      </c>
      <c r="E612" s="10" t="s">
        <v>98</v>
      </c>
      <c r="F612" s="10"/>
      <c r="G612" s="11">
        <v>1849.8</v>
      </c>
      <c r="H612" s="11">
        <v>27263</v>
      </c>
      <c r="I612" s="7">
        <f t="shared" ref="I612:M612" si="232">I613</f>
        <v>0</v>
      </c>
      <c r="J612" s="7">
        <f t="shared" si="232"/>
        <v>27263</v>
      </c>
      <c r="K612" s="7">
        <f t="shared" si="232"/>
        <v>0</v>
      </c>
      <c r="L612" s="7">
        <f t="shared" si="232"/>
        <v>27263</v>
      </c>
      <c r="M612" s="40">
        <f t="shared" si="232"/>
        <v>-1025</v>
      </c>
      <c r="N612" s="7">
        <v>26238</v>
      </c>
      <c r="O612" s="7">
        <v>26238</v>
      </c>
      <c r="P612" s="349">
        <v>24872.7</v>
      </c>
      <c r="Q612" s="257">
        <v>94.8</v>
      </c>
    </row>
    <row r="613" spans="1:17" s="12" customFormat="1">
      <c r="A613" s="8" t="s">
        <v>435</v>
      </c>
      <c r="B613" s="10" t="s">
        <v>503</v>
      </c>
      <c r="C613" s="10">
        <v>10</v>
      </c>
      <c r="D613" s="10" t="s">
        <v>11</v>
      </c>
      <c r="E613" s="10" t="s">
        <v>98</v>
      </c>
      <c r="F613" s="10" t="s">
        <v>432</v>
      </c>
      <c r="G613" s="11">
        <v>1849.8</v>
      </c>
      <c r="H613" s="31">
        <v>27263</v>
      </c>
      <c r="I613" s="7"/>
      <c r="J613" s="7">
        <f>H613+I613</f>
        <v>27263</v>
      </c>
      <c r="K613" s="7"/>
      <c r="L613" s="7">
        <f>J613+K613</f>
        <v>27263</v>
      </c>
      <c r="M613" s="40">
        <v>-1025</v>
      </c>
      <c r="N613" s="7">
        <v>26238</v>
      </c>
      <c r="O613" s="7">
        <v>26238</v>
      </c>
      <c r="P613" s="349">
        <v>24872.7</v>
      </c>
      <c r="Q613" s="257">
        <v>94.8</v>
      </c>
    </row>
    <row r="614" spans="1:17" s="12" customFormat="1" ht="47.25">
      <c r="A614" s="8" t="s">
        <v>95</v>
      </c>
      <c r="B614" s="10" t="s">
        <v>503</v>
      </c>
      <c r="C614" s="10">
        <v>10</v>
      </c>
      <c r="D614" s="10" t="s">
        <v>11</v>
      </c>
      <c r="E614" s="10" t="s">
        <v>96</v>
      </c>
      <c r="F614" s="10"/>
      <c r="G614" s="11">
        <v>677.9</v>
      </c>
      <c r="H614" s="11">
        <v>168682</v>
      </c>
      <c r="I614" s="7">
        <f t="shared" ref="I614:M614" si="233">I615</f>
        <v>0</v>
      </c>
      <c r="J614" s="7">
        <f t="shared" si="233"/>
        <v>168682</v>
      </c>
      <c r="K614" s="7">
        <f t="shared" si="233"/>
        <v>-86736.2</v>
      </c>
      <c r="L614" s="7">
        <f t="shared" si="233"/>
        <v>81945.8</v>
      </c>
      <c r="M614" s="40">
        <f t="shared" si="233"/>
        <v>0.1</v>
      </c>
      <c r="N614" s="7">
        <v>81945.899999999994</v>
      </c>
      <c r="O614" s="7">
        <v>81945.899999999994</v>
      </c>
      <c r="P614" s="349">
        <v>81945.899999999994</v>
      </c>
      <c r="Q614" s="257">
        <v>100</v>
      </c>
    </row>
    <row r="615" spans="1:17" s="12" customFormat="1">
      <c r="A615" s="8" t="s">
        <v>435</v>
      </c>
      <c r="B615" s="10" t="s">
        <v>503</v>
      </c>
      <c r="C615" s="10">
        <v>10</v>
      </c>
      <c r="D615" s="10" t="s">
        <v>11</v>
      </c>
      <c r="E615" s="10" t="s">
        <v>96</v>
      </c>
      <c r="F615" s="10" t="s">
        <v>432</v>
      </c>
      <c r="G615" s="11">
        <v>677.9</v>
      </c>
      <c r="H615" s="31">
        <v>168682</v>
      </c>
      <c r="I615" s="7"/>
      <c r="J615" s="7">
        <f>H615+I615</f>
        <v>168682</v>
      </c>
      <c r="K615" s="7">
        <f>-85942.8-793.4</f>
        <v>-86736.2</v>
      </c>
      <c r="L615" s="7">
        <f>J615+K615</f>
        <v>81945.8</v>
      </c>
      <c r="M615" s="40">
        <v>0.1</v>
      </c>
      <c r="N615" s="7">
        <v>81945.899999999994</v>
      </c>
      <c r="O615" s="7">
        <v>81945.899999999994</v>
      </c>
      <c r="P615" s="349">
        <v>81945.899999999994</v>
      </c>
      <c r="Q615" s="257">
        <v>100</v>
      </c>
    </row>
    <row r="616" spans="1:17" s="61" customFormat="1">
      <c r="A616" s="408" t="s">
        <v>99</v>
      </c>
      <c r="B616" s="409"/>
      <c r="C616" s="409"/>
      <c r="D616" s="409"/>
      <c r="E616" s="409"/>
      <c r="F616" s="409"/>
      <c r="G616" s="60">
        <v>-453.5</v>
      </c>
      <c r="H616" s="60">
        <v>94266.3</v>
      </c>
      <c r="I616" s="29">
        <f t="shared" ref="I616:M617" si="234">I617</f>
        <v>0</v>
      </c>
      <c r="J616" s="29">
        <f t="shared" si="234"/>
        <v>94266.3</v>
      </c>
      <c r="K616" s="29">
        <f t="shared" si="234"/>
        <v>0</v>
      </c>
      <c r="L616" s="29">
        <f t="shared" si="234"/>
        <v>94266.3</v>
      </c>
      <c r="M616" s="51">
        <f t="shared" si="234"/>
        <v>0</v>
      </c>
      <c r="N616" s="29">
        <v>94266.3</v>
      </c>
      <c r="O616" s="29">
        <v>94266.3</v>
      </c>
      <c r="P616" s="348">
        <v>94086.6</v>
      </c>
      <c r="Q616" s="256">
        <v>99.81</v>
      </c>
    </row>
    <row r="617" spans="1:17" s="30" customFormat="1">
      <c r="A617" s="26" t="s">
        <v>100</v>
      </c>
      <c r="B617" s="27" t="s">
        <v>504</v>
      </c>
      <c r="C617" s="27" t="s">
        <v>11</v>
      </c>
      <c r="D617" s="27"/>
      <c r="E617" s="27"/>
      <c r="F617" s="27"/>
      <c r="G617" s="60">
        <v>-453.5</v>
      </c>
      <c r="H617" s="60">
        <v>94266.3</v>
      </c>
      <c r="I617" s="29">
        <f t="shared" si="234"/>
        <v>0</v>
      </c>
      <c r="J617" s="29">
        <f t="shared" si="234"/>
        <v>94266.3</v>
      </c>
      <c r="K617" s="29">
        <f t="shared" si="234"/>
        <v>0</v>
      </c>
      <c r="L617" s="29">
        <f t="shared" si="234"/>
        <v>94266.3</v>
      </c>
      <c r="M617" s="51">
        <f t="shared" si="234"/>
        <v>0</v>
      </c>
      <c r="N617" s="29">
        <v>94266.3</v>
      </c>
      <c r="O617" s="29">
        <v>94266.3</v>
      </c>
      <c r="P617" s="348">
        <v>94086.6</v>
      </c>
      <c r="Q617" s="256">
        <v>99.81</v>
      </c>
    </row>
    <row r="618" spans="1:17" s="30" customFormat="1">
      <c r="A618" s="26" t="s">
        <v>101</v>
      </c>
      <c r="B618" s="27" t="s">
        <v>504</v>
      </c>
      <c r="C618" s="27" t="s">
        <v>11</v>
      </c>
      <c r="D618" s="27" t="s">
        <v>31</v>
      </c>
      <c r="E618" s="27"/>
      <c r="F618" s="27"/>
      <c r="G618" s="60">
        <v>-453.5</v>
      </c>
      <c r="H618" s="60">
        <v>94266.3</v>
      </c>
      <c r="I618" s="29">
        <f t="shared" ref="I618:M618" si="235">I619+I627</f>
        <v>0</v>
      </c>
      <c r="J618" s="29">
        <f t="shared" si="235"/>
        <v>94266.3</v>
      </c>
      <c r="K618" s="29">
        <f t="shared" si="235"/>
        <v>0</v>
      </c>
      <c r="L618" s="29">
        <f t="shared" si="235"/>
        <v>94266.3</v>
      </c>
      <c r="M618" s="51">
        <f t="shared" si="235"/>
        <v>0</v>
      </c>
      <c r="N618" s="29">
        <v>94266.3</v>
      </c>
      <c r="O618" s="29">
        <v>94266.3</v>
      </c>
      <c r="P618" s="348">
        <v>94086.6</v>
      </c>
      <c r="Q618" s="256">
        <v>99.81</v>
      </c>
    </row>
    <row r="619" spans="1:17" s="12" customFormat="1" ht="47.25">
      <c r="A619" s="8" t="s">
        <v>65</v>
      </c>
      <c r="B619" s="10" t="s">
        <v>504</v>
      </c>
      <c r="C619" s="10" t="s">
        <v>11</v>
      </c>
      <c r="D619" s="10" t="s">
        <v>31</v>
      </c>
      <c r="E619" s="41" t="s">
        <v>41</v>
      </c>
      <c r="F619" s="10"/>
      <c r="G619" s="11">
        <v>715</v>
      </c>
      <c r="H619" s="11">
        <v>8033.7</v>
      </c>
      <c r="I619" s="7">
        <f t="shared" ref="I619:M619" si="236">I620</f>
        <v>4261</v>
      </c>
      <c r="J619" s="7">
        <f t="shared" si="236"/>
        <v>12294.7</v>
      </c>
      <c r="K619" s="7">
        <f t="shared" si="236"/>
        <v>0</v>
      </c>
      <c r="L619" s="7">
        <f t="shared" si="236"/>
        <v>12294.7</v>
      </c>
      <c r="M619" s="40">
        <f t="shared" si="236"/>
        <v>0</v>
      </c>
      <c r="N619" s="7">
        <v>12294.7</v>
      </c>
      <c r="O619" s="7">
        <v>12294.7</v>
      </c>
      <c r="P619" s="349">
        <v>12115</v>
      </c>
      <c r="Q619" s="257">
        <v>98.54</v>
      </c>
    </row>
    <row r="620" spans="1:17" s="12" customFormat="1">
      <c r="A620" s="8" t="s">
        <v>42</v>
      </c>
      <c r="B620" s="10" t="s">
        <v>504</v>
      </c>
      <c r="C620" s="10" t="s">
        <v>11</v>
      </c>
      <c r="D620" s="10" t="s">
        <v>31</v>
      </c>
      <c r="E620" s="41" t="s">
        <v>43</v>
      </c>
      <c r="F620" s="10"/>
      <c r="G620" s="11">
        <v>715</v>
      </c>
      <c r="H620" s="11">
        <v>8033.7</v>
      </c>
      <c r="I620" s="7">
        <f t="shared" ref="I620:M620" si="237">I621+I622+I623+I624+I625+I626</f>
        <v>4261</v>
      </c>
      <c r="J620" s="7">
        <f t="shared" si="237"/>
        <v>12294.7</v>
      </c>
      <c r="K620" s="7">
        <f t="shared" si="237"/>
        <v>0</v>
      </c>
      <c r="L620" s="7">
        <f t="shared" si="237"/>
        <v>12294.7</v>
      </c>
      <c r="M620" s="40">
        <f t="shared" si="237"/>
        <v>0</v>
      </c>
      <c r="N620" s="7">
        <v>12294.7</v>
      </c>
      <c r="O620" s="7">
        <v>12294.7</v>
      </c>
      <c r="P620" s="349">
        <v>12115</v>
      </c>
      <c r="Q620" s="257">
        <v>98.54</v>
      </c>
    </row>
    <row r="621" spans="1:17" s="12" customFormat="1">
      <c r="A621" s="8" t="s">
        <v>337</v>
      </c>
      <c r="B621" s="10" t="s">
        <v>504</v>
      </c>
      <c r="C621" s="10" t="s">
        <v>11</v>
      </c>
      <c r="D621" s="10" t="s">
        <v>31</v>
      </c>
      <c r="E621" s="41" t="s">
        <v>43</v>
      </c>
      <c r="F621" s="10" t="s">
        <v>331</v>
      </c>
      <c r="G621" s="11">
        <v>864.1</v>
      </c>
      <c r="H621" s="31">
        <v>6733.1</v>
      </c>
      <c r="I621" s="7">
        <v>2072</v>
      </c>
      <c r="J621" s="7">
        <f t="shared" ref="J621:J626" si="238">H621+I621</f>
        <v>8805.1</v>
      </c>
      <c r="K621" s="7">
        <v>266</v>
      </c>
      <c r="L621" s="7">
        <f t="shared" ref="L621:L626" si="239">J621+K621</f>
        <v>9071.1</v>
      </c>
      <c r="M621" s="40"/>
      <c r="N621" s="7">
        <v>9071.1</v>
      </c>
      <c r="O621" s="7">
        <v>9071.1</v>
      </c>
      <c r="P621" s="349">
        <v>8896.2999999999993</v>
      </c>
      <c r="Q621" s="257">
        <v>98.07</v>
      </c>
    </row>
    <row r="622" spans="1:17" s="12" customFormat="1">
      <c r="A622" s="8" t="s">
        <v>356</v>
      </c>
      <c r="B622" s="10" t="s">
        <v>504</v>
      </c>
      <c r="C622" s="10" t="s">
        <v>11</v>
      </c>
      <c r="D622" s="10" t="s">
        <v>31</v>
      </c>
      <c r="E622" s="41" t="s">
        <v>43</v>
      </c>
      <c r="F622" s="10" t="s">
        <v>332</v>
      </c>
      <c r="G622" s="11">
        <v>77.8</v>
      </c>
      <c r="H622" s="31">
        <v>99</v>
      </c>
      <c r="I622" s="7">
        <v>322.39999999999998</v>
      </c>
      <c r="J622" s="7">
        <f t="shared" si="238"/>
        <v>421.4</v>
      </c>
      <c r="K622" s="7"/>
      <c r="L622" s="7">
        <f t="shared" si="239"/>
        <v>421.4</v>
      </c>
      <c r="M622" s="40">
        <v>-142</v>
      </c>
      <c r="N622" s="7">
        <v>279.39999999999998</v>
      </c>
      <c r="O622" s="7">
        <v>279.39999999999998</v>
      </c>
      <c r="P622" s="349">
        <v>276.5</v>
      </c>
      <c r="Q622" s="257">
        <v>98.96</v>
      </c>
    </row>
    <row r="623" spans="1:17" s="12" customFormat="1" ht="31.5">
      <c r="A623" s="8" t="s">
        <v>361</v>
      </c>
      <c r="B623" s="10" t="s">
        <v>504</v>
      </c>
      <c r="C623" s="10" t="s">
        <v>11</v>
      </c>
      <c r="D623" s="10" t="s">
        <v>31</v>
      </c>
      <c r="E623" s="41" t="s">
        <v>43</v>
      </c>
      <c r="F623" s="10" t="s">
        <v>333</v>
      </c>
      <c r="G623" s="11">
        <v>-77.599999999999994</v>
      </c>
      <c r="H623" s="31">
        <v>478</v>
      </c>
      <c r="I623" s="7">
        <v>235.5</v>
      </c>
      <c r="J623" s="7">
        <f t="shared" si="238"/>
        <v>713.5</v>
      </c>
      <c r="K623" s="7"/>
      <c r="L623" s="7">
        <f t="shared" si="239"/>
        <v>713.5</v>
      </c>
      <c r="M623" s="40">
        <v>76</v>
      </c>
      <c r="N623" s="7">
        <v>789.5</v>
      </c>
      <c r="O623" s="7">
        <v>789.5</v>
      </c>
      <c r="P623" s="349">
        <v>788.8</v>
      </c>
      <c r="Q623" s="257">
        <v>99.91</v>
      </c>
    </row>
    <row r="624" spans="1:17" s="12" customFormat="1">
      <c r="A624" s="8" t="s">
        <v>362</v>
      </c>
      <c r="B624" s="10" t="s">
        <v>504</v>
      </c>
      <c r="C624" s="10" t="s">
        <v>11</v>
      </c>
      <c r="D624" s="10" t="s">
        <v>31</v>
      </c>
      <c r="E624" s="41" t="s">
        <v>43</v>
      </c>
      <c r="F624" s="10" t="s">
        <v>334</v>
      </c>
      <c r="G624" s="11">
        <v>-149</v>
      </c>
      <c r="H624" s="31">
        <v>681.5</v>
      </c>
      <c r="I624" s="7">
        <v>1603.1</v>
      </c>
      <c r="J624" s="7">
        <f t="shared" si="238"/>
        <v>2284.6</v>
      </c>
      <c r="K624" s="7">
        <v>-266</v>
      </c>
      <c r="L624" s="7">
        <f t="shared" si="239"/>
        <v>2018.6</v>
      </c>
      <c r="M624" s="40">
        <v>110.5</v>
      </c>
      <c r="N624" s="7">
        <v>2129.1</v>
      </c>
      <c r="O624" s="7">
        <v>2129.1</v>
      </c>
      <c r="P624" s="349">
        <v>2127.9</v>
      </c>
      <c r="Q624" s="257">
        <v>99.94</v>
      </c>
    </row>
    <row r="625" spans="1:17" s="12" customFormat="1">
      <c r="A625" s="8" t="s">
        <v>384</v>
      </c>
      <c r="B625" s="10" t="s">
        <v>504</v>
      </c>
      <c r="C625" s="10" t="s">
        <v>11</v>
      </c>
      <c r="D625" s="10" t="s">
        <v>31</v>
      </c>
      <c r="E625" s="41" t="s">
        <v>43</v>
      </c>
      <c r="F625" s="10" t="s">
        <v>335</v>
      </c>
      <c r="G625" s="11">
        <v>0</v>
      </c>
      <c r="H625" s="31">
        <v>33.700000000000003</v>
      </c>
      <c r="I625" s="7">
        <v>8</v>
      </c>
      <c r="J625" s="7">
        <f t="shared" si="238"/>
        <v>41.7</v>
      </c>
      <c r="K625" s="7"/>
      <c r="L625" s="7">
        <f t="shared" si="239"/>
        <v>41.7</v>
      </c>
      <c r="M625" s="40">
        <v>-30.3</v>
      </c>
      <c r="N625" s="7">
        <v>11.4</v>
      </c>
      <c r="O625" s="7">
        <v>11.4</v>
      </c>
      <c r="P625" s="349">
        <v>11.3</v>
      </c>
      <c r="Q625" s="257">
        <v>99.12</v>
      </c>
    </row>
    <row r="626" spans="1:17" s="12" customFormat="1">
      <c r="A626" s="8" t="s">
        <v>380</v>
      </c>
      <c r="B626" s="10" t="s">
        <v>504</v>
      </c>
      <c r="C626" s="10" t="s">
        <v>11</v>
      </c>
      <c r="D626" s="10" t="s">
        <v>31</v>
      </c>
      <c r="E626" s="41" t="s">
        <v>43</v>
      </c>
      <c r="F626" s="10" t="s">
        <v>336</v>
      </c>
      <c r="G626" s="11">
        <v>-0.3</v>
      </c>
      <c r="H626" s="31">
        <v>8.4</v>
      </c>
      <c r="I626" s="7">
        <v>20</v>
      </c>
      <c r="J626" s="7">
        <f t="shared" si="238"/>
        <v>28.4</v>
      </c>
      <c r="K626" s="7"/>
      <c r="L626" s="7">
        <f t="shared" si="239"/>
        <v>28.4</v>
      </c>
      <c r="M626" s="40">
        <v>-14.2</v>
      </c>
      <c r="N626" s="7">
        <v>14.2</v>
      </c>
      <c r="O626" s="7">
        <v>14.2</v>
      </c>
      <c r="P626" s="349">
        <v>14.2</v>
      </c>
      <c r="Q626" s="257">
        <v>100</v>
      </c>
    </row>
    <row r="627" spans="1:17" s="12" customFormat="1">
      <c r="A627" s="8" t="s">
        <v>371</v>
      </c>
      <c r="B627" s="10" t="s">
        <v>504</v>
      </c>
      <c r="C627" s="10" t="s">
        <v>11</v>
      </c>
      <c r="D627" s="10" t="s">
        <v>31</v>
      </c>
      <c r="E627" s="10" t="s">
        <v>364</v>
      </c>
      <c r="F627" s="10"/>
      <c r="G627" s="11">
        <v>-1168.5</v>
      </c>
      <c r="H627" s="11">
        <v>86232.6</v>
      </c>
      <c r="I627" s="7">
        <f t="shared" ref="I627:M628" si="240">I628</f>
        <v>-4261</v>
      </c>
      <c r="J627" s="7">
        <f t="shared" si="240"/>
        <v>81971.600000000006</v>
      </c>
      <c r="K627" s="7">
        <f t="shared" si="240"/>
        <v>0</v>
      </c>
      <c r="L627" s="7">
        <f t="shared" si="240"/>
        <v>81971.600000000006</v>
      </c>
      <c r="M627" s="40">
        <f t="shared" si="240"/>
        <v>0</v>
      </c>
      <c r="N627" s="7">
        <v>81971.600000000006</v>
      </c>
      <c r="O627" s="7">
        <v>81971.600000000006</v>
      </c>
      <c r="P627" s="349">
        <v>81971.600000000006</v>
      </c>
      <c r="Q627" s="257">
        <v>100</v>
      </c>
    </row>
    <row r="628" spans="1:17" s="12" customFormat="1" ht="31.5">
      <c r="A628" s="8" t="s">
        <v>557</v>
      </c>
      <c r="B628" s="10" t="s">
        <v>504</v>
      </c>
      <c r="C628" s="10" t="s">
        <v>11</v>
      </c>
      <c r="D628" s="10" t="s">
        <v>31</v>
      </c>
      <c r="E628" s="10" t="s">
        <v>461</v>
      </c>
      <c r="F628" s="10"/>
      <c r="G628" s="11">
        <v>-1168.5</v>
      </c>
      <c r="H628" s="11">
        <v>86232.6</v>
      </c>
      <c r="I628" s="7">
        <f t="shared" si="240"/>
        <v>-4261</v>
      </c>
      <c r="J628" s="7">
        <f t="shared" si="240"/>
        <v>81971.600000000006</v>
      </c>
      <c r="K628" s="7">
        <f t="shared" si="240"/>
        <v>0</v>
      </c>
      <c r="L628" s="7">
        <f t="shared" si="240"/>
        <v>81971.600000000006</v>
      </c>
      <c r="M628" s="40">
        <f t="shared" si="240"/>
        <v>0</v>
      </c>
      <c r="N628" s="7">
        <v>81971.600000000006</v>
      </c>
      <c r="O628" s="7">
        <v>81971.600000000006</v>
      </c>
      <c r="P628" s="349">
        <v>81971.600000000006</v>
      </c>
      <c r="Q628" s="257">
        <v>100</v>
      </c>
    </row>
    <row r="629" spans="1:17" s="12" customFormat="1" ht="47.25">
      <c r="A629" s="8" t="s">
        <v>360</v>
      </c>
      <c r="B629" s="10" t="s">
        <v>504</v>
      </c>
      <c r="C629" s="10" t="s">
        <v>11</v>
      </c>
      <c r="D629" s="10" t="s">
        <v>31</v>
      </c>
      <c r="E629" s="10" t="s">
        <v>461</v>
      </c>
      <c r="F629" s="10" t="s">
        <v>359</v>
      </c>
      <c r="G629" s="11">
        <v>-1168.5</v>
      </c>
      <c r="H629" s="31">
        <v>86232.6</v>
      </c>
      <c r="I629" s="7">
        <v>-4261</v>
      </c>
      <c r="J629" s="7">
        <f>H629+I629</f>
        <v>81971.600000000006</v>
      </c>
      <c r="K629" s="7"/>
      <c r="L629" s="7">
        <f>J629+K629</f>
        <v>81971.600000000006</v>
      </c>
      <c r="M629" s="40"/>
      <c r="N629" s="7">
        <v>81971.600000000006</v>
      </c>
      <c r="O629" s="7">
        <v>81971.600000000006</v>
      </c>
      <c r="P629" s="349">
        <v>81971.600000000006</v>
      </c>
      <c r="Q629" s="257">
        <v>100</v>
      </c>
    </row>
    <row r="630" spans="1:17" s="61" customFormat="1">
      <c r="A630" s="408" t="s">
        <v>102</v>
      </c>
      <c r="B630" s="409"/>
      <c r="C630" s="409"/>
      <c r="D630" s="409"/>
      <c r="E630" s="409"/>
      <c r="F630" s="409"/>
      <c r="G630" s="28">
        <v>55576.800000000003</v>
      </c>
      <c r="H630" s="28">
        <v>302579.7</v>
      </c>
      <c r="I630" s="29" t="e">
        <f>I631+I765</f>
        <v>#REF!</v>
      </c>
      <c r="J630" s="29" t="e">
        <f>J631+J765</f>
        <v>#REF!</v>
      </c>
      <c r="K630" s="29" t="e">
        <f>K631+K765</f>
        <v>#REF!</v>
      </c>
      <c r="L630" s="29" t="e">
        <f>L631+L765</f>
        <v>#REF!</v>
      </c>
      <c r="M630" s="51" t="e">
        <f>M631+M765</f>
        <v>#REF!</v>
      </c>
      <c r="N630" s="29">
        <v>732428.4</v>
      </c>
      <c r="O630" s="29">
        <v>735397.4</v>
      </c>
      <c r="P630" s="348">
        <v>733866.9</v>
      </c>
      <c r="Q630" s="256">
        <v>99.79</v>
      </c>
    </row>
    <row r="631" spans="1:17" s="30" customFormat="1">
      <c r="A631" s="26" t="s">
        <v>100</v>
      </c>
      <c r="B631" s="27" t="s">
        <v>505</v>
      </c>
      <c r="C631" s="27" t="s">
        <v>11</v>
      </c>
      <c r="D631" s="27"/>
      <c r="E631" s="27"/>
      <c r="F631" s="27"/>
      <c r="G631" s="28">
        <v>12076.8</v>
      </c>
      <c r="H631" s="28">
        <v>259079.7</v>
      </c>
      <c r="I631" s="29" t="e">
        <f t="shared" ref="I631:M631" si="241">I632</f>
        <v>#REF!</v>
      </c>
      <c r="J631" s="29" t="e">
        <f t="shared" si="241"/>
        <v>#REF!</v>
      </c>
      <c r="K631" s="29" t="e">
        <f t="shared" si="241"/>
        <v>#REF!</v>
      </c>
      <c r="L631" s="29" t="e">
        <f t="shared" si="241"/>
        <v>#REF!</v>
      </c>
      <c r="M631" s="51" t="e">
        <f t="shared" si="241"/>
        <v>#REF!</v>
      </c>
      <c r="N631" s="29">
        <v>580771</v>
      </c>
      <c r="O631" s="29">
        <v>583740</v>
      </c>
      <c r="P631" s="348">
        <v>582209.6</v>
      </c>
      <c r="Q631" s="256">
        <v>99.74</v>
      </c>
    </row>
    <row r="632" spans="1:17" s="30" customFormat="1">
      <c r="A632" s="26" t="s">
        <v>101</v>
      </c>
      <c r="B632" s="27" t="s">
        <v>505</v>
      </c>
      <c r="C632" s="27" t="s">
        <v>11</v>
      </c>
      <c r="D632" s="27" t="s">
        <v>31</v>
      </c>
      <c r="E632" s="27"/>
      <c r="F632" s="27"/>
      <c r="G632" s="28">
        <v>12076.8</v>
      </c>
      <c r="H632" s="28">
        <v>259079.7</v>
      </c>
      <c r="I632" s="29" t="e">
        <f>I633+I684+I641</f>
        <v>#REF!</v>
      </c>
      <c r="J632" s="29" t="e">
        <f t="shared" ref="J632:M632" si="242">J633+J684+J641+J682</f>
        <v>#REF!</v>
      </c>
      <c r="K632" s="29" t="e">
        <f t="shared" si="242"/>
        <v>#REF!</v>
      </c>
      <c r="L632" s="29" t="e">
        <f t="shared" si="242"/>
        <v>#REF!</v>
      </c>
      <c r="M632" s="51" t="e">
        <f t="shared" si="242"/>
        <v>#REF!</v>
      </c>
      <c r="N632" s="29">
        <v>580771</v>
      </c>
      <c r="O632" s="29">
        <v>583740</v>
      </c>
      <c r="P632" s="348">
        <v>582209.6</v>
      </c>
      <c r="Q632" s="256">
        <v>99.74</v>
      </c>
    </row>
    <row r="633" spans="1:17" s="12" customFormat="1" ht="47.25">
      <c r="A633" s="8" t="s">
        <v>65</v>
      </c>
      <c r="B633" s="10" t="s">
        <v>505</v>
      </c>
      <c r="C633" s="10" t="s">
        <v>11</v>
      </c>
      <c r="D633" s="10" t="s">
        <v>31</v>
      </c>
      <c r="E633" s="41" t="s">
        <v>41</v>
      </c>
      <c r="F633" s="10"/>
      <c r="G633" s="11">
        <v>1925.3</v>
      </c>
      <c r="H633" s="11">
        <v>26968.3</v>
      </c>
      <c r="I633" s="7">
        <f t="shared" ref="I633:M633" si="243">I634</f>
        <v>0</v>
      </c>
      <c r="J633" s="7">
        <f t="shared" si="243"/>
        <v>26968.3</v>
      </c>
      <c r="K633" s="7">
        <f t="shared" si="243"/>
        <v>0</v>
      </c>
      <c r="L633" s="7">
        <f t="shared" si="243"/>
        <v>26968.3</v>
      </c>
      <c r="M633" s="40">
        <f t="shared" si="243"/>
        <v>0</v>
      </c>
      <c r="N633" s="7">
        <v>26968.3</v>
      </c>
      <c r="O633" s="7">
        <v>26968.3</v>
      </c>
      <c r="P633" s="349">
        <v>26906.9</v>
      </c>
      <c r="Q633" s="257">
        <v>99.77</v>
      </c>
    </row>
    <row r="634" spans="1:17" s="12" customFormat="1">
      <c r="A634" s="8" t="s">
        <v>42</v>
      </c>
      <c r="B634" s="10" t="s">
        <v>505</v>
      </c>
      <c r="C634" s="10" t="s">
        <v>11</v>
      </c>
      <c r="D634" s="10" t="s">
        <v>31</v>
      </c>
      <c r="E634" s="41" t="s">
        <v>43</v>
      </c>
      <c r="F634" s="10"/>
      <c r="G634" s="11">
        <v>1925.3</v>
      </c>
      <c r="H634" s="11">
        <v>26968.3</v>
      </c>
      <c r="I634" s="7">
        <f t="shared" ref="I634:M634" si="244">I635+I636+I637+I638+I639+I640</f>
        <v>0</v>
      </c>
      <c r="J634" s="7">
        <f t="shared" si="244"/>
        <v>26968.3</v>
      </c>
      <c r="K634" s="7">
        <f t="shared" si="244"/>
        <v>0</v>
      </c>
      <c r="L634" s="7">
        <f t="shared" si="244"/>
        <v>26968.3</v>
      </c>
      <c r="M634" s="40">
        <f t="shared" si="244"/>
        <v>0</v>
      </c>
      <c r="N634" s="7">
        <v>26968.3</v>
      </c>
      <c r="O634" s="7">
        <v>26968.3</v>
      </c>
      <c r="P634" s="349">
        <v>26906.9</v>
      </c>
      <c r="Q634" s="257">
        <v>99.77</v>
      </c>
    </row>
    <row r="635" spans="1:17" s="12" customFormat="1">
      <c r="A635" s="8" t="s">
        <v>337</v>
      </c>
      <c r="B635" s="10" t="s">
        <v>505</v>
      </c>
      <c r="C635" s="10" t="s">
        <v>11</v>
      </c>
      <c r="D635" s="10" t="s">
        <v>31</v>
      </c>
      <c r="E635" s="41" t="s">
        <v>43</v>
      </c>
      <c r="F635" s="10" t="s">
        <v>331</v>
      </c>
      <c r="G635" s="11">
        <v>2247.9</v>
      </c>
      <c r="H635" s="31">
        <v>21158.9</v>
      </c>
      <c r="I635" s="7">
        <v>69.8</v>
      </c>
      <c r="J635" s="7">
        <f t="shared" ref="J635:J640" si="245">H635+I635</f>
        <v>21228.7</v>
      </c>
      <c r="K635" s="7">
        <v>150</v>
      </c>
      <c r="L635" s="7">
        <f t="shared" ref="L635:L640" si="246">J635+K635</f>
        <v>21378.7</v>
      </c>
      <c r="M635" s="40">
        <v>165</v>
      </c>
      <c r="N635" s="7">
        <v>21543.7</v>
      </c>
      <c r="O635" s="7">
        <v>21543.7</v>
      </c>
      <c r="P635" s="349">
        <v>21507</v>
      </c>
      <c r="Q635" s="257">
        <v>99.83</v>
      </c>
    </row>
    <row r="636" spans="1:17" s="12" customFormat="1">
      <c r="A636" s="8" t="s">
        <v>356</v>
      </c>
      <c r="B636" s="10" t="s">
        <v>505</v>
      </c>
      <c r="C636" s="10" t="s">
        <v>11</v>
      </c>
      <c r="D636" s="10" t="s">
        <v>31</v>
      </c>
      <c r="E636" s="41" t="s">
        <v>43</v>
      </c>
      <c r="F636" s="10" t="s">
        <v>332</v>
      </c>
      <c r="G636" s="11">
        <v>270</v>
      </c>
      <c r="H636" s="31">
        <v>330</v>
      </c>
      <c r="I636" s="7"/>
      <c r="J636" s="7">
        <f t="shared" si="245"/>
        <v>330</v>
      </c>
      <c r="K636" s="7">
        <v>-33</v>
      </c>
      <c r="L636" s="7">
        <f t="shared" si="246"/>
        <v>297</v>
      </c>
      <c r="M636" s="40">
        <f>-43-40</f>
        <v>-83</v>
      </c>
      <c r="N636" s="7">
        <v>214</v>
      </c>
      <c r="O636" s="7">
        <v>214</v>
      </c>
      <c r="P636" s="349">
        <v>195.8</v>
      </c>
      <c r="Q636" s="257">
        <v>91.5</v>
      </c>
    </row>
    <row r="637" spans="1:17" s="12" customFormat="1" ht="31.5">
      <c r="A637" s="8" t="s">
        <v>361</v>
      </c>
      <c r="B637" s="10" t="s">
        <v>505</v>
      </c>
      <c r="C637" s="10" t="s">
        <v>11</v>
      </c>
      <c r="D637" s="10" t="s">
        <v>31</v>
      </c>
      <c r="E637" s="41" t="s">
        <v>43</v>
      </c>
      <c r="F637" s="10" t="s">
        <v>333</v>
      </c>
      <c r="G637" s="11">
        <v>140</v>
      </c>
      <c r="H637" s="31">
        <v>860</v>
      </c>
      <c r="I637" s="7"/>
      <c r="J637" s="7">
        <f t="shared" si="245"/>
        <v>860</v>
      </c>
      <c r="K637" s="7"/>
      <c r="L637" s="7">
        <f t="shared" si="246"/>
        <v>860</v>
      </c>
      <c r="M637" s="40">
        <v>28</v>
      </c>
      <c r="N637" s="7">
        <v>888</v>
      </c>
      <c r="O637" s="7">
        <v>888</v>
      </c>
      <c r="P637" s="349">
        <v>888</v>
      </c>
      <c r="Q637" s="257">
        <v>100</v>
      </c>
    </row>
    <row r="638" spans="1:17" s="12" customFormat="1">
      <c r="A638" s="8" t="s">
        <v>362</v>
      </c>
      <c r="B638" s="10" t="s">
        <v>505</v>
      </c>
      <c r="C638" s="10" t="s">
        <v>11</v>
      </c>
      <c r="D638" s="10" t="s">
        <v>31</v>
      </c>
      <c r="E638" s="41" t="s">
        <v>43</v>
      </c>
      <c r="F638" s="10" t="s">
        <v>334</v>
      </c>
      <c r="G638" s="11">
        <v>-752.6</v>
      </c>
      <c r="H638" s="31">
        <v>4454.3999999999996</v>
      </c>
      <c r="I638" s="7">
        <v>-69.8</v>
      </c>
      <c r="J638" s="7">
        <f t="shared" si="245"/>
        <v>4384.6000000000004</v>
      </c>
      <c r="K638" s="7">
        <f>33-150</f>
        <v>-117</v>
      </c>
      <c r="L638" s="7">
        <f t="shared" si="246"/>
        <v>4267.6000000000004</v>
      </c>
      <c r="M638" s="40">
        <v>-125</v>
      </c>
      <c r="N638" s="7">
        <v>4142.6000000000004</v>
      </c>
      <c r="O638" s="7">
        <v>4142.6000000000004</v>
      </c>
      <c r="P638" s="349">
        <v>4140.7</v>
      </c>
      <c r="Q638" s="257">
        <v>99.95</v>
      </c>
    </row>
    <row r="639" spans="1:17" s="12" customFormat="1">
      <c r="A639" s="8" t="s">
        <v>384</v>
      </c>
      <c r="B639" s="10" t="s">
        <v>505</v>
      </c>
      <c r="C639" s="10" t="s">
        <v>11</v>
      </c>
      <c r="D639" s="10" t="s">
        <v>31</v>
      </c>
      <c r="E639" s="41" t="s">
        <v>43</v>
      </c>
      <c r="F639" s="10" t="s">
        <v>335</v>
      </c>
      <c r="G639" s="11">
        <v>-10</v>
      </c>
      <c r="H639" s="31">
        <v>135</v>
      </c>
      <c r="I639" s="7"/>
      <c r="J639" s="7">
        <f t="shared" si="245"/>
        <v>135</v>
      </c>
      <c r="K639" s="7"/>
      <c r="L639" s="7">
        <f t="shared" si="246"/>
        <v>135</v>
      </c>
      <c r="M639" s="40"/>
      <c r="N639" s="7">
        <v>135</v>
      </c>
      <c r="O639" s="7">
        <v>135</v>
      </c>
      <c r="P639" s="349">
        <v>132.19999999999999</v>
      </c>
      <c r="Q639" s="257">
        <v>97.93</v>
      </c>
    </row>
    <row r="640" spans="1:17" s="12" customFormat="1">
      <c r="A640" s="8" t="s">
        <v>380</v>
      </c>
      <c r="B640" s="10" t="s">
        <v>505</v>
      </c>
      <c r="C640" s="10" t="s">
        <v>11</v>
      </c>
      <c r="D640" s="10" t="s">
        <v>31</v>
      </c>
      <c r="E640" s="41" t="s">
        <v>43</v>
      </c>
      <c r="F640" s="10" t="s">
        <v>336</v>
      </c>
      <c r="G640" s="11">
        <v>30</v>
      </c>
      <c r="H640" s="31">
        <v>30</v>
      </c>
      <c r="I640" s="7"/>
      <c r="J640" s="7">
        <f t="shared" si="245"/>
        <v>30</v>
      </c>
      <c r="K640" s="7"/>
      <c r="L640" s="7">
        <f t="shared" si="246"/>
        <v>30</v>
      </c>
      <c r="M640" s="40">
        <v>15</v>
      </c>
      <c r="N640" s="7">
        <v>45</v>
      </c>
      <c r="O640" s="7">
        <v>45</v>
      </c>
      <c r="P640" s="349">
        <v>43.2</v>
      </c>
      <c r="Q640" s="257">
        <v>96</v>
      </c>
    </row>
    <row r="641" spans="1:17" s="12" customFormat="1">
      <c r="A641" s="8" t="s">
        <v>824</v>
      </c>
      <c r="B641" s="10" t="s">
        <v>505</v>
      </c>
      <c r="C641" s="10" t="s">
        <v>11</v>
      </c>
      <c r="D641" s="10" t="s">
        <v>31</v>
      </c>
      <c r="E641" s="41" t="s">
        <v>798</v>
      </c>
      <c r="F641" s="10"/>
      <c r="G641" s="11"/>
      <c r="H641" s="31">
        <f>H644+H646+H648+H650+H652+H654+H656+H658+H660+H664+H666+H668+H676</f>
        <v>0</v>
      </c>
      <c r="I641" s="31">
        <f>I644+I646+I648+I650+I652+I654+I656+I658+I660+I664+I666+I668+I676</f>
        <v>185067.3</v>
      </c>
      <c r="J641" s="31">
        <f>J644+J646+J648+J650+J652+J654+J656+J658+J660+J664+J666+J668+J676+J672+J674+J678+J670+J680</f>
        <v>185067.3</v>
      </c>
      <c r="K641" s="31">
        <f>K644+K646+K648+K650+K652+K654+K656+K658+K660+K664+K666+K668+K676+K672+K674+K678+K670+K680</f>
        <v>82429.7</v>
      </c>
      <c r="L641" s="31">
        <f>L644+L646+L648+L650+L652+L654+L656+L658+L660+L664+L666+L668+L676+L672+L674+L678+L670+L680+L642+L662</f>
        <v>267497</v>
      </c>
      <c r="M641" s="39">
        <f>M644+M646+M648+M650+M652+M654+M656+M658+M660+M664+M666+M668+M676+M672+M674+M678+M670+M680+M642+M662</f>
        <v>30662.400000000001</v>
      </c>
      <c r="N641" s="31">
        <v>298159.40000000002</v>
      </c>
      <c r="O641" s="36">
        <v>301128.40000000002</v>
      </c>
      <c r="P641" s="350">
        <v>300036.59999999998</v>
      </c>
      <c r="Q641" s="257">
        <v>99.64</v>
      </c>
    </row>
    <row r="642" spans="1:17" s="12" customFormat="1">
      <c r="A642" s="32" t="s">
        <v>1028</v>
      </c>
      <c r="B642" s="10" t="s">
        <v>505</v>
      </c>
      <c r="C642" s="10" t="s">
        <v>11</v>
      </c>
      <c r="D642" s="10" t="s">
        <v>31</v>
      </c>
      <c r="E642" s="41" t="s">
        <v>1027</v>
      </c>
      <c r="F642" s="10"/>
      <c r="G642" s="11"/>
      <c r="H642" s="31"/>
      <c r="I642" s="31"/>
      <c r="J642" s="31"/>
      <c r="K642" s="31"/>
      <c r="L642" s="31">
        <f>L643</f>
        <v>0</v>
      </c>
      <c r="M642" s="39">
        <f>M643</f>
        <v>149.4</v>
      </c>
      <c r="N642" s="31">
        <v>149.4</v>
      </c>
      <c r="O642" s="36">
        <v>149.4</v>
      </c>
      <c r="P642" s="350">
        <v>149.4</v>
      </c>
      <c r="Q642" s="257">
        <v>100</v>
      </c>
    </row>
    <row r="643" spans="1:17" s="12" customFormat="1" ht="47.25">
      <c r="A643" s="8" t="s">
        <v>534</v>
      </c>
      <c r="B643" s="10" t="s">
        <v>505</v>
      </c>
      <c r="C643" s="10" t="s">
        <v>11</v>
      </c>
      <c r="D643" s="10" t="s">
        <v>31</v>
      </c>
      <c r="E643" s="41" t="s">
        <v>1027</v>
      </c>
      <c r="F643" s="10" t="s">
        <v>375</v>
      </c>
      <c r="G643" s="11"/>
      <c r="H643" s="31"/>
      <c r="I643" s="31"/>
      <c r="J643" s="31"/>
      <c r="K643" s="31"/>
      <c r="L643" s="31"/>
      <c r="M643" s="39">
        <v>149.4</v>
      </c>
      <c r="N643" s="31">
        <v>149.4</v>
      </c>
      <c r="O643" s="7">
        <v>149.4</v>
      </c>
      <c r="P643" s="349">
        <v>149.4</v>
      </c>
      <c r="Q643" s="257">
        <v>100</v>
      </c>
    </row>
    <row r="644" spans="1:17" s="12" customFormat="1" ht="47.25">
      <c r="A644" s="42" t="s">
        <v>812</v>
      </c>
      <c r="B644" s="10" t="s">
        <v>505</v>
      </c>
      <c r="C644" s="10" t="s">
        <v>11</v>
      </c>
      <c r="D644" s="10" t="s">
        <v>31</v>
      </c>
      <c r="E644" s="41" t="s">
        <v>799</v>
      </c>
      <c r="F644" s="10"/>
      <c r="G644" s="11"/>
      <c r="H644" s="31">
        <f t="shared" ref="H644:M644" si="247">H645</f>
        <v>0</v>
      </c>
      <c r="I644" s="31">
        <f t="shared" si="247"/>
        <v>200.3</v>
      </c>
      <c r="J644" s="31">
        <f t="shared" si="247"/>
        <v>200.3</v>
      </c>
      <c r="K644" s="31">
        <f t="shared" si="247"/>
        <v>0</v>
      </c>
      <c r="L644" s="31">
        <f t="shared" si="247"/>
        <v>200.3</v>
      </c>
      <c r="M644" s="39">
        <f t="shared" si="247"/>
        <v>0</v>
      </c>
      <c r="N644" s="31">
        <v>200.3</v>
      </c>
      <c r="O644" s="36">
        <v>200.3</v>
      </c>
      <c r="P644" s="350">
        <v>200.3</v>
      </c>
      <c r="Q644" s="257">
        <v>100</v>
      </c>
    </row>
    <row r="645" spans="1:17" s="12" customFormat="1" ht="47.25">
      <c r="A645" s="8" t="s">
        <v>534</v>
      </c>
      <c r="B645" s="10" t="s">
        <v>505</v>
      </c>
      <c r="C645" s="10" t="s">
        <v>11</v>
      </c>
      <c r="D645" s="10" t="s">
        <v>31</v>
      </c>
      <c r="E645" s="41" t="s">
        <v>799</v>
      </c>
      <c r="F645" s="10" t="s">
        <v>375</v>
      </c>
      <c r="G645" s="11"/>
      <c r="H645" s="31"/>
      <c r="I645" s="7">
        <v>200.3</v>
      </c>
      <c r="J645" s="7">
        <f>H645+I645</f>
        <v>200.3</v>
      </c>
      <c r="K645" s="7"/>
      <c r="L645" s="7">
        <f>J645+K645</f>
        <v>200.3</v>
      </c>
      <c r="M645" s="40"/>
      <c r="N645" s="7">
        <v>200.3</v>
      </c>
      <c r="O645" s="7">
        <v>200.3</v>
      </c>
      <c r="P645" s="349">
        <v>200.3</v>
      </c>
      <c r="Q645" s="257">
        <v>100</v>
      </c>
    </row>
    <row r="646" spans="1:17" s="12" customFormat="1" ht="31.5">
      <c r="A646" s="8" t="s">
        <v>813</v>
      </c>
      <c r="B646" s="10" t="s">
        <v>505</v>
      </c>
      <c r="C646" s="10" t="s">
        <v>11</v>
      </c>
      <c r="D646" s="10" t="s">
        <v>31</v>
      </c>
      <c r="E646" s="41" t="s">
        <v>800</v>
      </c>
      <c r="F646" s="10"/>
      <c r="G646" s="11"/>
      <c r="H646" s="31">
        <f t="shared" ref="H646:M646" si="248">H647</f>
        <v>0</v>
      </c>
      <c r="I646" s="31">
        <f t="shared" si="248"/>
        <v>2279.6999999999998</v>
      </c>
      <c r="J646" s="31">
        <f t="shared" si="248"/>
        <v>2279.6999999999998</v>
      </c>
      <c r="K646" s="31">
        <f t="shared" si="248"/>
        <v>0</v>
      </c>
      <c r="L646" s="31">
        <f t="shared" si="248"/>
        <v>2279.6999999999998</v>
      </c>
      <c r="M646" s="39">
        <f t="shared" si="248"/>
        <v>660</v>
      </c>
      <c r="N646" s="31">
        <v>2939.7</v>
      </c>
      <c r="O646" s="36">
        <v>2939.7</v>
      </c>
      <c r="P646" s="350">
        <v>2939.7</v>
      </c>
      <c r="Q646" s="257">
        <v>100</v>
      </c>
    </row>
    <row r="647" spans="1:17" s="12" customFormat="1" ht="47.25">
      <c r="A647" s="8" t="s">
        <v>534</v>
      </c>
      <c r="B647" s="10" t="s">
        <v>505</v>
      </c>
      <c r="C647" s="10" t="s">
        <v>11</v>
      </c>
      <c r="D647" s="10" t="s">
        <v>31</v>
      </c>
      <c r="E647" s="41" t="s">
        <v>800</v>
      </c>
      <c r="F647" s="10" t="s">
        <v>375</v>
      </c>
      <c r="G647" s="11"/>
      <c r="H647" s="31"/>
      <c r="I647" s="7">
        <v>2279.6999999999998</v>
      </c>
      <c r="J647" s="7">
        <f>H647+I647</f>
        <v>2279.6999999999998</v>
      </c>
      <c r="K647" s="7"/>
      <c r="L647" s="7">
        <f>J647+K647</f>
        <v>2279.6999999999998</v>
      </c>
      <c r="M647" s="40">
        <v>660</v>
      </c>
      <c r="N647" s="7">
        <v>2939.7</v>
      </c>
      <c r="O647" s="7">
        <v>2939.7</v>
      </c>
      <c r="P647" s="349">
        <v>2939.7</v>
      </c>
      <c r="Q647" s="257">
        <v>100</v>
      </c>
    </row>
    <row r="648" spans="1:17" s="12" customFormat="1" ht="47.25">
      <c r="A648" s="8" t="s">
        <v>814</v>
      </c>
      <c r="B648" s="10" t="s">
        <v>505</v>
      </c>
      <c r="C648" s="10" t="s">
        <v>11</v>
      </c>
      <c r="D648" s="10" t="s">
        <v>31</v>
      </c>
      <c r="E648" s="41" t="s">
        <v>801</v>
      </c>
      <c r="F648" s="10"/>
      <c r="G648" s="11"/>
      <c r="H648" s="31">
        <f t="shared" ref="H648:M648" si="249">H649</f>
        <v>0</v>
      </c>
      <c r="I648" s="31">
        <f t="shared" si="249"/>
        <v>798.3</v>
      </c>
      <c r="J648" s="31">
        <f t="shared" si="249"/>
        <v>798.3</v>
      </c>
      <c r="K648" s="31">
        <f t="shared" si="249"/>
        <v>1082.7</v>
      </c>
      <c r="L648" s="31">
        <f t="shared" si="249"/>
        <v>1881</v>
      </c>
      <c r="M648" s="39">
        <f t="shared" si="249"/>
        <v>0</v>
      </c>
      <c r="N648" s="31">
        <v>1881</v>
      </c>
      <c r="O648" s="36">
        <v>1881</v>
      </c>
      <c r="P648" s="350">
        <v>1881</v>
      </c>
      <c r="Q648" s="257">
        <v>100</v>
      </c>
    </row>
    <row r="649" spans="1:17" s="12" customFormat="1" ht="47.25">
      <c r="A649" s="8" t="s">
        <v>534</v>
      </c>
      <c r="B649" s="10" t="s">
        <v>505</v>
      </c>
      <c r="C649" s="10" t="s">
        <v>11</v>
      </c>
      <c r="D649" s="10" t="s">
        <v>31</v>
      </c>
      <c r="E649" s="41" t="s">
        <v>801</v>
      </c>
      <c r="F649" s="10" t="s">
        <v>375</v>
      </c>
      <c r="G649" s="11"/>
      <c r="H649" s="31"/>
      <c r="I649" s="7">
        <v>798.3</v>
      </c>
      <c r="J649" s="7">
        <f>H649+I649</f>
        <v>798.3</v>
      </c>
      <c r="K649" s="7">
        <v>1082.7</v>
      </c>
      <c r="L649" s="7">
        <f>J649+K649</f>
        <v>1881</v>
      </c>
      <c r="M649" s="40"/>
      <c r="N649" s="7">
        <v>1881</v>
      </c>
      <c r="O649" s="7">
        <v>1881</v>
      </c>
      <c r="P649" s="349">
        <v>1881</v>
      </c>
      <c r="Q649" s="257">
        <v>100</v>
      </c>
    </row>
    <row r="650" spans="1:17" s="12" customFormat="1" ht="63">
      <c r="A650" s="8" t="s">
        <v>815</v>
      </c>
      <c r="B650" s="10" t="s">
        <v>505</v>
      </c>
      <c r="C650" s="10" t="s">
        <v>11</v>
      </c>
      <c r="D650" s="10" t="s">
        <v>31</v>
      </c>
      <c r="E650" s="41" t="s">
        <v>802</v>
      </c>
      <c r="F650" s="10"/>
      <c r="G650" s="11"/>
      <c r="H650" s="31">
        <f t="shared" ref="H650:M650" si="250">H651</f>
        <v>0</v>
      </c>
      <c r="I650" s="31">
        <f t="shared" si="250"/>
        <v>694.7</v>
      </c>
      <c r="J650" s="31">
        <f t="shared" si="250"/>
        <v>694.7</v>
      </c>
      <c r="K650" s="31">
        <f t="shared" si="250"/>
        <v>105.4</v>
      </c>
      <c r="L650" s="31">
        <f t="shared" si="250"/>
        <v>800.1</v>
      </c>
      <c r="M650" s="39">
        <f t="shared" si="250"/>
        <v>1027.5</v>
      </c>
      <c r="N650" s="31">
        <v>1827.6</v>
      </c>
      <c r="O650" s="36">
        <v>1827.6</v>
      </c>
      <c r="P650" s="350">
        <v>1827.6</v>
      </c>
      <c r="Q650" s="257">
        <v>100</v>
      </c>
    </row>
    <row r="651" spans="1:17" s="12" customFormat="1" ht="47.25">
      <c r="A651" s="8" t="s">
        <v>534</v>
      </c>
      <c r="B651" s="10" t="s">
        <v>505</v>
      </c>
      <c r="C651" s="10" t="s">
        <v>11</v>
      </c>
      <c r="D651" s="10" t="s">
        <v>31</v>
      </c>
      <c r="E651" s="41" t="s">
        <v>802</v>
      </c>
      <c r="F651" s="10" t="s">
        <v>375</v>
      </c>
      <c r="G651" s="11"/>
      <c r="H651" s="31"/>
      <c r="I651" s="31">
        <v>694.7</v>
      </c>
      <c r="J651" s="7">
        <f>H651+I651</f>
        <v>694.7</v>
      </c>
      <c r="K651" s="7">
        <v>105.4</v>
      </c>
      <c r="L651" s="7">
        <f>J651+K651</f>
        <v>800.1</v>
      </c>
      <c r="M651" s="40">
        <v>1027.5</v>
      </c>
      <c r="N651" s="7">
        <v>1827.6</v>
      </c>
      <c r="O651" s="7">
        <v>1827.6</v>
      </c>
      <c r="P651" s="349">
        <v>1827.6</v>
      </c>
      <c r="Q651" s="257">
        <v>100</v>
      </c>
    </row>
    <row r="652" spans="1:17" s="12" customFormat="1" ht="31.5">
      <c r="A652" s="8" t="s">
        <v>816</v>
      </c>
      <c r="B652" s="10" t="s">
        <v>505</v>
      </c>
      <c r="C652" s="10" t="s">
        <v>11</v>
      </c>
      <c r="D652" s="10" t="s">
        <v>31</v>
      </c>
      <c r="E652" s="41" t="s">
        <v>803</v>
      </c>
      <c r="F652" s="10"/>
      <c r="G652" s="11"/>
      <c r="H652" s="31">
        <f t="shared" ref="H652:M652" si="251">H653</f>
        <v>0</v>
      </c>
      <c r="I652" s="62">
        <f t="shared" si="251"/>
        <v>16531.099999999999</v>
      </c>
      <c r="J652" s="36">
        <f t="shared" si="251"/>
        <v>16531.099999999999</v>
      </c>
      <c r="K652" s="36">
        <f t="shared" si="251"/>
        <v>10876.9</v>
      </c>
      <c r="L652" s="36">
        <f t="shared" si="251"/>
        <v>27408</v>
      </c>
      <c r="M652" s="59">
        <f t="shared" si="251"/>
        <v>0</v>
      </c>
      <c r="N652" s="36">
        <v>27408</v>
      </c>
      <c r="O652" s="36">
        <v>27408</v>
      </c>
      <c r="P652" s="350">
        <v>27408</v>
      </c>
      <c r="Q652" s="257">
        <v>100</v>
      </c>
    </row>
    <row r="653" spans="1:17" s="12" customFormat="1" ht="47.25">
      <c r="A653" s="8" t="s">
        <v>534</v>
      </c>
      <c r="B653" s="10" t="s">
        <v>505</v>
      </c>
      <c r="C653" s="10" t="s">
        <v>11</v>
      </c>
      <c r="D653" s="10" t="s">
        <v>31</v>
      </c>
      <c r="E653" s="41" t="s">
        <v>803</v>
      </c>
      <c r="F653" s="10" t="s">
        <v>375</v>
      </c>
      <c r="G653" s="11"/>
      <c r="H653" s="31"/>
      <c r="I653" s="62">
        <v>16531.099999999999</v>
      </c>
      <c r="J653" s="7">
        <f>H653+I653</f>
        <v>16531.099999999999</v>
      </c>
      <c r="K653" s="63">
        <v>10876.9</v>
      </c>
      <c r="L653" s="7">
        <f>J653+K653</f>
        <v>27408</v>
      </c>
      <c r="M653" s="64"/>
      <c r="N653" s="7">
        <v>27408</v>
      </c>
      <c r="O653" s="7">
        <v>27408</v>
      </c>
      <c r="P653" s="349">
        <v>27408</v>
      </c>
      <c r="Q653" s="257">
        <v>100</v>
      </c>
    </row>
    <row r="654" spans="1:17" s="12" customFormat="1">
      <c r="A654" s="265" t="s">
        <v>817</v>
      </c>
      <c r="B654" s="10" t="s">
        <v>505</v>
      </c>
      <c r="C654" s="10" t="s">
        <v>11</v>
      </c>
      <c r="D654" s="10" t="s">
        <v>31</v>
      </c>
      <c r="E654" s="41" t="s">
        <v>804</v>
      </c>
      <c r="F654" s="10"/>
      <c r="G654" s="11"/>
      <c r="H654" s="31">
        <f t="shared" ref="H654:M654" si="252">H655</f>
        <v>0</v>
      </c>
      <c r="I654" s="62">
        <f t="shared" si="252"/>
        <v>23884</v>
      </c>
      <c r="J654" s="36">
        <f t="shared" si="252"/>
        <v>23884</v>
      </c>
      <c r="K654" s="36">
        <f t="shared" si="252"/>
        <v>0</v>
      </c>
      <c r="L654" s="36">
        <f t="shared" si="252"/>
        <v>23884</v>
      </c>
      <c r="M654" s="59">
        <f t="shared" si="252"/>
        <v>0</v>
      </c>
      <c r="N654" s="36">
        <v>23884</v>
      </c>
      <c r="O654" s="36">
        <v>23884</v>
      </c>
      <c r="P654" s="350">
        <v>23884</v>
      </c>
      <c r="Q654" s="257">
        <v>100</v>
      </c>
    </row>
    <row r="655" spans="1:17" s="12" customFormat="1" ht="47.25">
      <c r="A655" s="8" t="s">
        <v>534</v>
      </c>
      <c r="B655" s="10" t="s">
        <v>505</v>
      </c>
      <c r="C655" s="10" t="s">
        <v>11</v>
      </c>
      <c r="D655" s="10" t="s">
        <v>31</v>
      </c>
      <c r="E655" s="41" t="s">
        <v>804</v>
      </c>
      <c r="F655" s="10" t="s">
        <v>375</v>
      </c>
      <c r="G655" s="11"/>
      <c r="H655" s="31"/>
      <c r="I655" s="62">
        <v>23884</v>
      </c>
      <c r="J655" s="7">
        <f>H655+I655</f>
        <v>23884</v>
      </c>
      <c r="K655" s="7"/>
      <c r="L655" s="7">
        <f>J655+K655</f>
        <v>23884</v>
      </c>
      <c r="M655" s="40"/>
      <c r="N655" s="7">
        <v>23884</v>
      </c>
      <c r="O655" s="7">
        <v>23884</v>
      </c>
      <c r="P655" s="349">
        <v>23884</v>
      </c>
      <c r="Q655" s="257">
        <v>100</v>
      </c>
    </row>
    <row r="656" spans="1:17" s="12" customFormat="1">
      <c r="A656" s="8" t="s">
        <v>818</v>
      </c>
      <c r="B656" s="10" t="s">
        <v>505</v>
      </c>
      <c r="C656" s="10" t="s">
        <v>11</v>
      </c>
      <c r="D656" s="10" t="s">
        <v>31</v>
      </c>
      <c r="E656" s="41" t="s">
        <v>805</v>
      </c>
      <c r="F656" s="10"/>
      <c r="G656" s="11"/>
      <c r="H656" s="31">
        <f t="shared" ref="H656:M656" si="253">H657</f>
        <v>0</v>
      </c>
      <c r="I656" s="62">
        <f t="shared" si="253"/>
        <v>6296.9</v>
      </c>
      <c r="J656" s="36">
        <f t="shared" si="253"/>
        <v>6296.9</v>
      </c>
      <c r="K656" s="36">
        <f t="shared" si="253"/>
        <v>2108</v>
      </c>
      <c r="L656" s="36">
        <f t="shared" si="253"/>
        <v>8404.9</v>
      </c>
      <c r="M656" s="59">
        <f t="shared" si="253"/>
        <v>0</v>
      </c>
      <c r="N656" s="36">
        <v>8404.9</v>
      </c>
      <c r="O656" s="36">
        <v>8404.9</v>
      </c>
      <c r="P656" s="350">
        <v>8404.9</v>
      </c>
      <c r="Q656" s="257">
        <v>100</v>
      </c>
    </row>
    <row r="657" spans="1:17" s="12" customFormat="1" ht="47.25">
      <c r="A657" s="8" t="s">
        <v>534</v>
      </c>
      <c r="B657" s="10" t="s">
        <v>505</v>
      </c>
      <c r="C657" s="10" t="s">
        <v>11</v>
      </c>
      <c r="D657" s="10" t="s">
        <v>31</v>
      </c>
      <c r="E657" s="41" t="s">
        <v>805</v>
      </c>
      <c r="F657" s="10" t="s">
        <v>375</v>
      </c>
      <c r="G657" s="11"/>
      <c r="H657" s="31"/>
      <c r="I657" s="62">
        <v>6296.9</v>
      </c>
      <c r="J657" s="7">
        <f>H657+I657</f>
        <v>6296.9</v>
      </c>
      <c r="K657" s="7">
        <v>2108</v>
      </c>
      <c r="L657" s="7">
        <f>J657+K657</f>
        <v>8404.9</v>
      </c>
      <c r="M657" s="40"/>
      <c r="N657" s="7">
        <v>8404.9</v>
      </c>
      <c r="O657" s="7">
        <v>8404.9</v>
      </c>
      <c r="P657" s="349">
        <v>8404.9</v>
      </c>
      <c r="Q657" s="257">
        <v>100</v>
      </c>
    </row>
    <row r="658" spans="1:17" s="12" customFormat="1" ht="31.5">
      <c r="A658" s="8" t="s">
        <v>819</v>
      </c>
      <c r="B658" s="10" t="s">
        <v>505</v>
      </c>
      <c r="C658" s="10" t="s">
        <v>11</v>
      </c>
      <c r="D658" s="10" t="s">
        <v>31</v>
      </c>
      <c r="E658" s="41" t="s">
        <v>806</v>
      </c>
      <c r="F658" s="10"/>
      <c r="G658" s="11"/>
      <c r="H658" s="31">
        <f t="shared" ref="H658:M658" si="254">H659</f>
        <v>0</v>
      </c>
      <c r="I658" s="62">
        <f t="shared" si="254"/>
        <v>17212.2</v>
      </c>
      <c r="J658" s="36">
        <f t="shared" si="254"/>
        <v>17212.2</v>
      </c>
      <c r="K658" s="36">
        <f t="shared" si="254"/>
        <v>0</v>
      </c>
      <c r="L658" s="36">
        <f t="shared" si="254"/>
        <v>17212.2</v>
      </c>
      <c r="M658" s="59">
        <f t="shared" si="254"/>
        <v>24.1</v>
      </c>
      <c r="N658" s="36">
        <v>17236.3</v>
      </c>
      <c r="O658" s="36">
        <v>17236.3</v>
      </c>
      <c r="P658" s="350">
        <v>17236.3</v>
      </c>
      <c r="Q658" s="257">
        <v>100</v>
      </c>
    </row>
    <row r="659" spans="1:17" s="12" customFormat="1" ht="47.25">
      <c r="A659" s="8" t="s">
        <v>534</v>
      </c>
      <c r="B659" s="10" t="s">
        <v>505</v>
      </c>
      <c r="C659" s="10" t="s">
        <v>11</v>
      </c>
      <c r="D659" s="10" t="s">
        <v>31</v>
      </c>
      <c r="E659" s="41" t="s">
        <v>806</v>
      </c>
      <c r="F659" s="10" t="s">
        <v>375</v>
      </c>
      <c r="G659" s="11"/>
      <c r="H659" s="31"/>
      <c r="I659" s="62">
        <v>17212.2</v>
      </c>
      <c r="J659" s="7">
        <f>H659+I659</f>
        <v>17212.2</v>
      </c>
      <c r="K659" s="7"/>
      <c r="L659" s="7">
        <f>J659+K659</f>
        <v>17212.2</v>
      </c>
      <c r="M659" s="40">
        <v>24.1</v>
      </c>
      <c r="N659" s="7">
        <v>17236.3</v>
      </c>
      <c r="O659" s="7">
        <v>17236.3</v>
      </c>
      <c r="P659" s="349">
        <v>17236.3</v>
      </c>
      <c r="Q659" s="257">
        <v>100</v>
      </c>
    </row>
    <row r="660" spans="1:17" s="12" customFormat="1" ht="31.5">
      <c r="A660" s="8" t="s">
        <v>820</v>
      </c>
      <c r="B660" s="10" t="s">
        <v>505</v>
      </c>
      <c r="C660" s="10" t="s">
        <v>11</v>
      </c>
      <c r="D660" s="10" t="s">
        <v>31</v>
      </c>
      <c r="E660" s="41" t="s">
        <v>807</v>
      </c>
      <c r="F660" s="10"/>
      <c r="G660" s="11"/>
      <c r="H660" s="31">
        <f t="shared" ref="H660:M660" si="255">H661</f>
        <v>0</v>
      </c>
      <c r="I660" s="62">
        <f t="shared" si="255"/>
        <v>17662.099999999999</v>
      </c>
      <c r="J660" s="36">
        <f t="shared" si="255"/>
        <v>17662.099999999999</v>
      </c>
      <c r="K660" s="36">
        <f t="shared" si="255"/>
        <v>0</v>
      </c>
      <c r="L660" s="36">
        <f t="shared" si="255"/>
        <v>17662.099999999999</v>
      </c>
      <c r="M660" s="59">
        <f t="shared" si="255"/>
        <v>12351.2</v>
      </c>
      <c r="N660" s="36">
        <v>30013.3</v>
      </c>
      <c r="O660" s="36">
        <v>30013.3</v>
      </c>
      <c r="P660" s="350">
        <v>29877</v>
      </c>
      <c r="Q660" s="257">
        <v>99.55</v>
      </c>
    </row>
    <row r="661" spans="1:17" s="12" customFormat="1" ht="47.25">
      <c r="A661" s="8" t="s">
        <v>534</v>
      </c>
      <c r="B661" s="10" t="s">
        <v>505</v>
      </c>
      <c r="C661" s="10" t="s">
        <v>11</v>
      </c>
      <c r="D661" s="10" t="s">
        <v>31</v>
      </c>
      <c r="E661" s="41" t="s">
        <v>807</v>
      </c>
      <c r="F661" s="10" t="s">
        <v>375</v>
      </c>
      <c r="G661" s="11"/>
      <c r="H661" s="31"/>
      <c r="I661" s="62">
        <v>17662.099999999999</v>
      </c>
      <c r="J661" s="7">
        <f>H661+I661</f>
        <v>17662.099999999999</v>
      </c>
      <c r="K661" s="7"/>
      <c r="L661" s="7">
        <f>J661+K661</f>
        <v>17662.099999999999</v>
      </c>
      <c r="M661" s="40">
        <v>12351.2</v>
      </c>
      <c r="N661" s="7">
        <v>30013.3</v>
      </c>
      <c r="O661" s="7">
        <v>30013.3</v>
      </c>
      <c r="P661" s="349">
        <v>29877</v>
      </c>
      <c r="Q661" s="257">
        <v>99.55</v>
      </c>
    </row>
    <row r="662" spans="1:17" s="12" customFormat="1" ht="31.5">
      <c r="A662" s="32" t="s">
        <v>1030</v>
      </c>
      <c r="B662" s="10" t="s">
        <v>505</v>
      </c>
      <c r="C662" s="10" t="s">
        <v>11</v>
      </c>
      <c r="D662" s="10" t="s">
        <v>31</v>
      </c>
      <c r="E662" s="41" t="s">
        <v>1029</v>
      </c>
      <c r="F662" s="10"/>
      <c r="G662" s="11"/>
      <c r="H662" s="31"/>
      <c r="I662" s="62"/>
      <c r="J662" s="7"/>
      <c r="K662" s="7"/>
      <c r="L662" s="7">
        <f>L663</f>
        <v>0</v>
      </c>
      <c r="M662" s="40">
        <f>M663</f>
        <v>3312</v>
      </c>
      <c r="N662" s="7">
        <v>3312</v>
      </c>
      <c r="O662" s="7">
        <v>3312</v>
      </c>
      <c r="P662" s="349">
        <v>3312</v>
      </c>
      <c r="Q662" s="257">
        <v>100</v>
      </c>
    </row>
    <row r="663" spans="1:17" s="12" customFormat="1" ht="47.25">
      <c r="A663" s="8" t="s">
        <v>534</v>
      </c>
      <c r="B663" s="10" t="s">
        <v>505</v>
      </c>
      <c r="C663" s="10" t="s">
        <v>11</v>
      </c>
      <c r="D663" s="10" t="s">
        <v>31</v>
      </c>
      <c r="E663" s="41" t="s">
        <v>1029</v>
      </c>
      <c r="F663" s="10" t="s">
        <v>375</v>
      </c>
      <c r="G663" s="11"/>
      <c r="H663" s="31"/>
      <c r="I663" s="62"/>
      <c r="J663" s="7"/>
      <c r="K663" s="7"/>
      <c r="L663" s="7"/>
      <c r="M663" s="40">
        <v>3312</v>
      </c>
      <c r="N663" s="7">
        <v>3312</v>
      </c>
      <c r="O663" s="7">
        <v>3312</v>
      </c>
      <c r="P663" s="349">
        <v>3312</v>
      </c>
      <c r="Q663" s="257">
        <v>100</v>
      </c>
    </row>
    <row r="664" spans="1:17" s="12" customFormat="1" ht="47.25">
      <c r="A664" s="8" t="s">
        <v>822</v>
      </c>
      <c r="B664" s="10" t="s">
        <v>505</v>
      </c>
      <c r="C664" s="10" t="s">
        <v>11</v>
      </c>
      <c r="D664" s="10" t="s">
        <v>31</v>
      </c>
      <c r="E664" s="41" t="s">
        <v>808</v>
      </c>
      <c r="F664" s="10"/>
      <c r="G664" s="11"/>
      <c r="H664" s="31">
        <f t="shared" ref="H664:M664" si="256">H665</f>
        <v>0</v>
      </c>
      <c r="I664" s="62">
        <f t="shared" si="256"/>
        <v>2655.2</v>
      </c>
      <c r="J664" s="36">
        <f t="shared" si="256"/>
        <v>2655.2</v>
      </c>
      <c r="K664" s="36">
        <f t="shared" si="256"/>
        <v>1036.4000000000001</v>
      </c>
      <c r="L664" s="36">
        <f t="shared" si="256"/>
        <v>3691.6</v>
      </c>
      <c r="M664" s="59">
        <f t="shared" si="256"/>
        <v>-1036.4000000000001</v>
      </c>
      <c r="N664" s="36">
        <v>2655.2</v>
      </c>
      <c r="O664" s="36">
        <v>2655.2</v>
      </c>
      <c r="P664" s="350">
        <v>2128.4</v>
      </c>
      <c r="Q664" s="257">
        <v>80.16</v>
      </c>
    </row>
    <row r="665" spans="1:17" s="12" customFormat="1" ht="47.25">
      <c r="A665" s="8" t="s">
        <v>534</v>
      </c>
      <c r="B665" s="10" t="s">
        <v>505</v>
      </c>
      <c r="C665" s="10" t="s">
        <v>11</v>
      </c>
      <c r="D665" s="10" t="s">
        <v>31</v>
      </c>
      <c r="E665" s="41" t="s">
        <v>808</v>
      </c>
      <c r="F665" s="10" t="s">
        <v>375</v>
      </c>
      <c r="G665" s="11"/>
      <c r="H665" s="31"/>
      <c r="I665" s="62">
        <v>2655.2</v>
      </c>
      <c r="J665" s="7">
        <f>H665+I665</f>
        <v>2655.2</v>
      </c>
      <c r="K665" s="7">
        <v>1036.4000000000001</v>
      </c>
      <c r="L665" s="7">
        <f>J665+K665</f>
        <v>3691.6</v>
      </c>
      <c r="M665" s="40">
        <v>-1036.4000000000001</v>
      </c>
      <c r="N665" s="7">
        <v>2655.2</v>
      </c>
      <c r="O665" s="7">
        <v>2655.2</v>
      </c>
      <c r="P665" s="349">
        <v>2128.4</v>
      </c>
      <c r="Q665" s="257">
        <v>80.16</v>
      </c>
    </row>
    <row r="666" spans="1:17" s="12" customFormat="1" ht="63">
      <c r="A666" s="8" t="s">
        <v>821</v>
      </c>
      <c r="B666" s="10" t="s">
        <v>505</v>
      </c>
      <c r="C666" s="10" t="s">
        <v>11</v>
      </c>
      <c r="D666" s="10" t="s">
        <v>31</v>
      </c>
      <c r="E666" s="41" t="s">
        <v>809</v>
      </c>
      <c r="F666" s="10"/>
      <c r="G666" s="11"/>
      <c r="H666" s="31">
        <f t="shared" ref="H666:M666" si="257">H667</f>
        <v>0</v>
      </c>
      <c r="I666" s="62">
        <f t="shared" si="257"/>
        <v>3460.1</v>
      </c>
      <c r="J666" s="36">
        <f t="shared" si="257"/>
        <v>3460.1</v>
      </c>
      <c r="K666" s="36">
        <f t="shared" si="257"/>
        <v>525.5</v>
      </c>
      <c r="L666" s="36">
        <f t="shared" si="257"/>
        <v>3985.6</v>
      </c>
      <c r="M666" s="59">
        <f t="shared" si="257"/>
        <v>621.70000000000005</v>
      </c>
      <c r="N666" s="36">
        <v>4607.3</v>
      </c>
      <c r="O666" s="36">
        <v>4607.3</v>
      </c>
      <c r="P666" s="350">
        <v>4188.2</v>
      </c>
      <c r="Q666" s="257">
        <v>90.9</v>
      </c>
    </row>
    <row r="667" spans="1:17" s="12" customFormat="1" ht="47.25">
      <c r="A667" s="8" t="s">
        <v>534</v>
      </c>
      <c r="B667" s="10" t="s">
        <v>505</v>
      </c>
      <c r="C667" s="10" t="s">
        <v>11</v>
      </c>
      <c r="D667" s="10" t="s">
        <v>31</v>
      </c>
      <c r="E667" s="41" t="s">
        <v>809</v>
      </c>
      <c r="F667" s="10" t="s">
        <v>375</v>
      </c>
      <c r="G667" s="11"/>
      <c r="H667" s="31"/>
      <c r="I667" s="62">
        <v>3460.1</v>
      </c>
      <c r="J667" s="7">
        <f>H667+I667</f>
        <v>3460.1</v>
      </c>
      <c r="K667" s="7">
        <v>525.5</v>
      </c>
      <c r="L667" s="7">
        <f>J667+K667</f>
        <v>3985.6</v>
      </c>
      <c r="M667" s="40">
        <v>621.70000000000005</v>
      </c>
      <c r="N667" s="7">
        <v>4607.3</v>
      </c>
      <c r="O667" s="7">
        <v>4607.3</v>
      </c>
      <c r="P667" s="349">
        <v>4188.2</v>
      </c>
      <c r="Q667" s="257">
        <v>90.9</v>
      </c>
    </row>
    <row r="668" spans="1:17" s="12" customFormat="1" ht="31.5">
      <c r="A668" s="8" t="s">
        <v>823</v>
      </c>
      <c r="B668" s="10" t="s">
        <v>505</v>
      </c>
      <c r="C668" s="10" t="s">
        <v>11</v>
      </c>
      <c r="D668" s="10" t="s">
        <v>31</v>
      </c>
      <c r="E668" s="41" t="s">
        <v>810</v>
      </c>
      <c r="F668" s="10"/>
      <c r="G668" s="11"/>
      <c r="H668" s="31">
        <f t="shared" ref="H668:M668" si="258">H669</f>
        <v>0</v>
      </c>
      <c r="I668" s="62">
        <f t="shared" si="258"/>
        <v>7551.5</v>
      </c>
      <c r="J668" s="36">
        <f t="shared" si="258"/>
        <v>7551.5</v>
      </c>
      <c r="K668" s="36">
        <f t="shared" si="258"/>
        <v>0</v>
      </c>
      <c r="L668" s="36">
        <f t="shared" si="258"/>
        <v>7551.5</v>
      </c>
      <c r="M668" s="59">
        <f t="shared" si="258"/>
        <v>1000</v>
      </c>
      <c r="N668" s="36">
        <v>8551.5</v>
      </c>
      <c r="O668" s="36">
        <v>8551.5</v>
      </c>
      <c r="P668" s="350">
        <v>8551.5</v>
      </c>
      <c r="Q668" s="257">
        <v>100</v>
      </c>
    </row>
    <row r="669" spans="1:17" s="12" customFormat="1" ht="47.25">
      <c r="A669" s="8" t="s">
        <v>534</v>
      </c>
      <c r="B669" s="10" t="s">
        <v>505</v>
      </c>
      <c r="C669" s="10" t="s">
        <v>11</v>
      </c>
      <c r="D669" s="10" t="s">
        <v>31</v>
      </c>
      <c r="E669" s="41" t="s">
        <v>810</v>
      </c>
      <c r="F669" s="10" t="s">
        <v>375</v>
      </c>
      <c r="G669" s="11"/>
      <c r="H669" s="31"/>
      <c r="I669" s="62">
        <v>7551.5</v>
      </c>
      <c r="J669" s="7">
        <f>H669+I669</f>
        <v>7551.5</v>
      </c>
      <c r="K669" s="7"/>
      <c r="L669" s="7">
        <f>J669+K669</f>
        <v>7551.5</v>
      </c>
      <c r="M669" s="40">
        <v>1000</v>
      </c>
      <c r="N669" s="7">
        <v>8551.5</v>
      </c>
      <c r="O669" s="7">
        <v>8551.5</v>
      </c>
      <c r="P669" s="349">
        <v>8551.5</v>
      </c>
      <c r="Q669" s="257">
        <v>100</v>
      </c>
    </row>
    <row r="670" spans="1:17" s="12" customFormat="1" ht="31.5">
      <c r="A670" s="33" t="s">
        <v>966</v>
      </c>
      <c r="B670" s="10" t="s">
        <v>505</v>
      </c>
      <c r="C670" s="10" t="s">
        <v>11</v>
      </c>
      <c r="D670" s="10" t="s">
        <v>31</v>
      </c>
      <c r="E670" s="41" t="s">
        <v>965</v>
      </c>
      <c r="F670" s="10"/>
      <c r="G670" s="11"/>
      <c r="H670" s="31"/>
      <c r="I670" s="62"/>
      <c r="J670" s="7">
        <f t="shared" ref="J670:M670" si="259">J671</f>
        <v>0</v>
      </c>
      <c r="K670" s="7">
        <f t="shared" si="259"/>
        <v>24162</v>
      </c>
      <c r="L670" s="7">
        <f t="shared" si="259"/>
        <v>24162</v>
      </c>
      <c r="M670" s="40">
        <f t="shared" si="259"/>
        <v>0</v>
      </c>
      <c r="N670" s="7">
        <v>24162</v>
      </c>
      <c r="O670" s="7">
        <v>27131</v>
      </c>
      <c r="P670" s="349">
        <v>27131</v>
      </c>
      <c r="Q670" s="257">
        <v>100</v>
      </c>
    </row>
    <row r="671" spans="1:17" s="12" customFormat="1" ht="47.25">
      <c r="A671" s="8" t="s">
        <v>534</v>
      </c>
      <c r="B671" s="10" t="s">
        <v>505</v>
      </c>
      <c r="C671" s="10" t="s">
        <v>11</v>
      </c>
      <c r="D671" s="10" t="s">
        <v>31</v>
      </c>
      <c r="E671" s="41" t="s">
        <v>965</v>
      </c>
      <c r="F671" s="10" t="s">
        <v>375</v>
      </c>
      <c r="G671" s="11"/>
      <c r="H671" s="31"/>
      <c r="I671" s="62"/>
      <c r="J671" s="7"/>
      <c r="K671" s="7">
        <v>24162</v>
      </c>
      <c r="L671" s="7">
        <f>J671+K671</f>
        <v>24162</v>
      </c>
      <c r="M671" s="40"/>
      <c r="N671" s="7">
        <v>24162</v>
      </c>
      <c r="O671" s="7">
        <v>27131</v>
      </c>
      <c r="P671" s="349">
        <v>27131</v>
      </c>
      <c r="Q671" s="257">
        <v>100</v>
      </c>
    </row>
    <row r="672" spans="1:17" s="12" customFormat="1">
      <c r="A672" s="8" t="s">
        <v>926</v>
      </c>
      <c r="B672" s="10" t="s">
        <v>505</v>
      </c>
      <c r="C672" s="10" t="s">
        <v>11</v>
      </c>
      <c r="D672" s="10" t="s">
        <v>31</v>
      </c>
      <c r="E672" s="41" t="s">
        <v>924</v>
      </c>
      <c r="F672" s="10"/>
      <c r="G672" s="11"/>
      <c r="H672" s="31"/>
      <c r="I672" s="62"/>
      <c r="J672" s="7"/>
      <c r="K672" s="7">
        <f t="shared" ref="K672:M672" si="260">K673</f>
        <v>22871</v>
      </c>
      <c r="L672" s="7">
        <f t="shared" si="260"/>
        <v>22871</v>
      </c>
      <c r="M672" s="7">
        <f t="shared" si="260"/>
        <v>0</v>
      </c>
      <c r="N672" s="7">
        <v>22871</v>
      </c>
      <c r="O672" s="7">
        <v>22871</v>
      </c>
      <c r="P672" s="349">
        <v>22871</v>
      </c>
      <c r="Q672" s="257">
        <v>100</v>
      </c>
    </row>
    <row r="673" spans="1:17" s="12" customFormat="1" ht="47.25">
      <c r="A673" s="8" t="s">
        <v>534</v>
      </c>
      <c r="B673" s="10" t="s">
        <v>505</v>
      </c>
      <c r="C673" s="10" t="s">
        <v>11</v>
      </c>
      <c r="D673" s="10" t="s">
        <v>31</v>
      </c>
      <c r="E673" s="41" t="s">
        <v>924</v>
      </c>
      <c r="F673" s="10" t="s">
        <v>375</v>
      </c>
      <c r="G673" s="11"/>
      <c r="H673" s="31"/>
      <c r="I673" s="62"/>
      <c r="J673" s="7"/>
      <c r="K673" s="7">
        <v>22871</v>
      </c>
      <c r="L673" s="7">
        <f>J673+K673</f>
        <v>22871</v>
      </c>
      <c r="M673" s="7"/>
      <c r="N673" s="7">
        <v>22871</v>
      </c>
      <c r="O673" s="7">
        <v>22871</v>
      </c>
      <c r="P673" s="349">
        <v>22871</v>
      </c>
      <c r="Q673" s="257">
        <v>100</v>
      </c>
    </row>
    <row r="674" spans="1:17" s="12" customFormat="1">
      <c r="A674" s="8" t="s">
        <v>927</v>
      </c>
      <c r="B674" s="10" t="s">
        <v>505</v>
      </c>
      <c r="C674" s="10" t="s">
        <v>11</v>
      </c>
      <c r="D674" s="10" t="s">
        <v>31</v>
      </c>
      <c r="E674" s="41" t="s">
        <v>925</v>
      </c>
      <c r="F674" s="10"/>
      <c r="G674" s="11"/>
      <c r="H674" s="31"/>
      <c r="I674" s="62"/>
      <c r="J674" s="7"/>
      <c r="K674" s="7">
        <f t="shared" ref="K674:M674" si="261">K675</f>
        <v>18536</v>
      </c>
      <c r="L674" s="7">
        <f t="shared" si="261"/>
        <v>18536</v>
      </c>
      <c r="M674" s="7">
        <f t="shared" si="261"/>
        <v>0</v>
      </c>
      <c r="N674" s="7">
        <v>18536</v>
      </c>
      <c r="O674" s="7">
        <v>18536</v>
      </c>
      <c r="P674" s="349">
        <v>18536</v>
      </c>
      <c r="Q674" s="257">
        <v>100</v>
      </c>
    </row>
    <row r="675" spans="1:17" s="12" customFormat="1" ht="47.25">
      <c r="A675" s="8" t="s">
        <v>534</v>
      </c>
      <c r="B675" s="10" t="s">
        <v>505</v>
      </c>
      <c r="C675" s="10" t="s">
        <v>11</v>
      </c>
      <c r="D675" s="10" t="s">
        <v>31</v>
      </c>
      <c r="E675" s="41" t="s">
        <v>925</v>
      </c>
      <c r="F675" s="10" t="s">
        <v>375</v>
      </c>
      <c r="G675" s="11"/>
      <c r="H675" s="31"/>
      <c r="I675" s="62"/>
      <c r="J675" s="7"/>
      <c r="K675" s="7">
        <v>18536</v>
      </c>
      <c r="L675" s="7">
        <f>J675+K675</f>
        <v>18536</v>
      </c>
      <c r="M675" s="7"/>
      <c r="N675" s="7">
        <v>18536</v>
      </c>
      <c r="O675" s="7">
        <v>18536</v>
      </c>
      <c r="P675" s="349">
        <v>18536</v>
      </c>
      <c r="Q675" s="257">
        <v>100</v>
      </c>
    </row>
    <row r="676" spans="1:17" s="12" customFormat="1" ht="47.25">
      <c r="A676" s="8" t="s">
        <v>1046</v>
      </c>
      <c r="B676" s="10" t="s">
        <v>505</v>
      </c>
      <c r="C676" s="10" t="s">
        <v>11</v>
      </c>
      <c r="D676" s="10" t="s">
        <v>31</v>
      </c>
      <c r="E676" s="41" t="s">
        <v>811</v>
      </c>
      <c r="F676" s="10"/>
      <c r="G676" s="11"/>
      <c r="H676" s="31">
        <f t="shared" ref="H676:M676" si="262">H677</f>
        <v>0</v>
      </c>
      <c r="I676" s="62">
        <f t="shared" si="262"/>
        <v>85841.2</v>
      </c>
      <c r="J676" s="36">
        <f t="shared" si="262"/>
        <v>85841.2</v>
      </c>
      <c r="K676" s="36">
        <f t="shared" si="262"/>
        <v>0</v>
      </c>
      <c r="L676" s="36">
        <f t="shared" si="262"/>
        <v>85841.2</v>
      </c>
      <c r="M676" s="36">
        <f t="shared" si="262"/>
        <v>11520.8</v>
      </c>
      <c r="N676" s="36">
        <v>97362</v>
      </c>
      <c r="O676" s="36">
        <v>97362</v>
      </c>
      <c r="P676" s="350">
        <v>97352.4</v>
      </c>
      <c r="Q676" s="257">
        <v>99.99</v>
      </c>
    </row>
    <row r="677" spans="1:17" s="12" customFormat="1" ht="47.25">
      <c r="A677" s="8" t="s">
        <v>534</v>
      </c>
      <c r="B677" s="10" t="s">
        <v>505</v>
      </c>
      <c r="C677" s="10" t="s">
        <v>11</v>
      </c>
      <c r="D677" s="10" t="s">
        <v>31</v>
      </c>
      <c r="E677" s="41" t="s">
        <v>811</v>
      </c>
      <c r="F677" s="10" t="s">
        <v>375</v>
      </c>
      <c r="G677" s="11"/>
      <c r="H677" s="31"/>
      <c r="I677" s="7">
        <v>85841.2</v>
      </c>
      <c r="J677" s="7">
        <f>H677+I677</f>
        <v>85841.2</v>
      </c>
      <c r="K677" s="7"/>
      <c r="L677" s="7">
        <f>J677+K677</f>
        <v>85841.2</v>
      </c>
      <c r="M677" s="7">
        <v>11520.8</v>
      </c>
      <c r="N677" s="7">
        <v>97362</v>
      </c>
      <c r="O677" s="7">
        <v>97362</v>
      </c>
      <c r="P677" s="349">
        <v>97352.4</v>
      </c>
      <c r="Q677" s="257">
        <v>99.99</v>
      </c>
    </row>
    <row r="678" spans="1:17" s="12" customFormat="1" ht="63">
      <c r="A678" s="8" t="s">
        <v>933</v>
      </c>
      <c r="B678" s="10" t="s">
        <v>505</v>
      </c>
      <c r="C678" s="10" t="s">
        <v>11</v>
      </c>
      <c r="D678" s="10" t="s">
        <v>31</v>
      </c>
      <c r="E678" s="41" t="s">
        <v>932</v>
      </c>
      <c r="F678" s="10"/>
      <c r="G678" s="11"/>
      <c r="H678" s="31"/>
      <c r="I678" s="7"/>
      <c r="J678" s="7"/>
      <c r="K678" s="7">
        <f t="shared" ref="K678:M678" si="263">K679</f>
        <v>1032.2</v>
      </c>
      <c r="L678" s="7">
        <f t="shared" si="263"/>
        <v>1032.2</v>
      </c>
      <c r="M678" s="7">
        <f t="shared" si="263"/>
        <v>1032.0999999999999</v>
      </c>
      <c r="N678" s="7">
        <v>2064.3000000000002</v>
      </c>
      <c r="O678" s="7">
        <v>2064.3000000000002</v>
      </c>
      <c r="P678" s="349">
        <v>2064.3000000000002</v>
      </c>
      <c r="Q678" s="257">
        <v>100</v>
      </c>
    </row>
    <row r="679" spans="1:17" s="12" customFormat="1" ht="47.25">
      <c r="A679" s="8" t="s">
        <v>534</v>
      </c>
      <c r="B679" s="10" t="s">
        <v>505</v>
      </c>
      <c r="C679" s="10" t="s">
        <v>11</v>
      </c>
      <c r="D679" s="10" t="s">
        <v>31</v>
      </c>
      <c r="E679" s="41" t="s">
        <v>932</v>
      </c>
      <c r="F679" s="10" t="s">
        <v>375</v>
      </c>
      <c r="G679" s="11"/>
      <c r="H679" s="31"/>
      <c r="I679" s="7"/>
      <c r="J679" s="7"/>
      <c r="K679" s="7">
        <f>1032.1+0.1</f>
        <v>1032.2</v>
      </c>
      <c r="L679" s="7">
        <f>J679+K679</f>
        <v>1032.2</v>
      </c>
      <c r="M679" s="7">
        <v>1032.0999999999999</v>
      </c>
      <c r="N679" s="7">
        <v>2064.3000000000002</v>
      </c>
      <c r="O679" s="7">
        <v>2064.3000000000002</v>
      </c>
      <c r="P679" s="349">
        <v>2064.3000000000002</v>
      </c>
      <c r="Q679" s="257">
        <v>100</v>
      </c>
    </row>
    <row r="680" spans="1:17" s="12" customFormat="1" ht="63">
      <c r="A680" s="32" t="s">
        <v>979</v>
      </c>
      <c r="B680" s="10" t="s">
        <v>505</v>
      </c>
      <c r="C680" s="10" t="s">
        <v>11</v>
      </c>
      <c r="D680" s="10" t="s">
        <v>31</v>
      </c>
      <c r="E680" s="41" t="s">
        <v>978</v>
      </c>
      <c r="F680" s="10"/>
      <c r="G680" s="11"/>
      <c r="H680" s="31"/>
      <c r="I680" s="7"/>
      <c r="J680" s="7">
        <f t="shared" ref="J680:M680" si="264">J681</f>
        <v>0</v>
      </c>
      <c r="K680" s="7">
        <f t="shared" si="264"/>
        <v>93.6</v>
      </c>
      <c r="L680" s="7">
        <f t="shared" si="264"/>
        <v>93.6</v>
      </c>
      <c r="M680" s="7">
        <f t="shared" si="264"/>
        <v>0</v>
      </c>
      <c r="N680" s="7">
        <v>93.6</v>
      </c>
      <c r="O680" s="7">
        <v>93.6</v>
      </c>
      <c r="P680" s="349">
        <v>93.6</v>
      </c>
      <c r="Q680" s="257">
        <v>100</v>
      </c>
    </row>
    <row r="681" spans="1:17" s="12" customFormat="1" ht="47.25">
      <c r="A681" s="8" t="s">
        <v>534</v>
      </c>
      <c r="B681" s="10" t="s">
        <v>505</v>
      </c>
      <c r="C681" s="10" t="s">
        <v>11</v>
      </c>
      <c r="D681" s="10" t="s">
        <v>31</v>
      </c>
      <c r="E681" s="41" t="s">
        <v>978</v>
      </c>
      <c r="F681" s="10" t="s">
        <v>375</v>
      </c>
      <c r="G681" s="11"/>
      <c r="H681" s="31"/>
      <c r="I681" s="7"/>
      <c r="J681" s="7"/>
      <c r="K681" s="7">
        <v>93.6</v>
      </c>
      <c r="L681" s="7">
        <f>J681+K681</f>
        <v>93.6</v>
      </c>
      <c r="M681" s="7"/>
      <c r="N681" s="7">
        <v>93.6</v>
      </c>
      <c r="O681" s="7">
        <v>93.6</v>
      </c>
      <c r="P681" s="349">
        <v>93.6</v>
      </c>
      <c r="Q681" s="257">
        <v>100</v>
      </c>
    </row>
    <row r="682" spans="1:17" s="12" customFormat="1">
      <c r="A682" s="54" t="s">
        <v>977</v>
      </c>
      <c r="B682" s="10" t="s">
        <v>505</v>
      </c>
      <c r="C682" s="10" t="s">
        <v>11</v>
      </c>
      <c r="D682" s="10" t="s">
        <v>31</v>
      </c>
      <c r="E682" s="41" t="s">
        <v>976</v>
      </c>
      <c r="F682" s="10"/>
      <c r="G682" s="11"/>
      <c r="H682" s="31"/>
      <c r="I682" s="7"/>
      <c r="J682" s="7">
        <f t="shared" ref="J682:M682" si="265">J683</f>
        <v>0</v>
      </c>
      <c r="K682" s="7">
        <f t="shared" si="265"/>
        <v>1651.9</v>
      </c>
      <c r="L682" s="7">
        <f t="shared" si="265"/>
        <v>1651.9</v>
      </c>
      <c r="M682" s="7">
        <f t="shared" si="265"/>
        <v>0</v>
      </c>
      <c r="N682" s="7">
        <v>1651.9</v>
      </c>
      <c r="O682" s="7">
        <v>1651.9</v>
      </c>
      <c r="P682" s="349">
        <v>1651.9</v>
      </c>
      <c r="Q682" s="257">
        <v>100</v>
      </c>
    </row>
    <row r="683" spans="1:17" s="12" customFormat="1" ht="47.25">
      <c r="A683" s="8" t="s">
        <v>534</v>
      </c>
      <c r="B683" s="10" t="s">
        <v>505</v>
      </c>
      <c r="C683" s="10" t="s">
        <v>11</v>
      </c>
      <c r="D683" s="10" t="s">
        <v>31</v>
      </c>
      <c r="E683" s="41" t="s">
        <v>976</v>
      </c>
      <c r="F683" s="10" t="s">
        <v>375</v>
      </c>
      <c r="G683" s="11"/>
      <c r="H683" s="31"/>
      <c r="I683" s="7"/>
      <c r="J683" s="7"/>
      <c r="K683" s="7">
        <f>632.5+1019.4</f>
        <v>1651.9</v>
      </c>
      <c r="L683" s="7">
        <f>J683+K683</f>
        <v>1651.9</v>
      </c>
      <c r="M683" s="7"/>
      <c r="N683" s="7">
        <v>1651.9</v>
      </c>
      <c r="O683" s="7">
        <v>1651.9</v>
      </c>
      <c r="P683" s="349">
        <v>1651.9</v>
      </c>
      <c r="Q683" s="257">
        <v>100</v>
      </c>
    </row>
    <row r="684" spans="1:17" s="12" customFormat="1">
      <c r="A684" s="8" t="s">
        <v>17</v>
      </c>
      <c r="B684" s="10" t="s">
        <v>505</v>
      </c>
      <c r="C684" s="10" t="s">
        <v>11</v>
      </c>
      <c r="D684" s="10" t="s">
        <v>31</v>
      </c>
      <c r="E684" s="57" t="s">
        <v>18</v>
      </c>
      <c r="F684" s="10"/>
      <c r="G684" s="11">
        <v>10151.5</v>
      </c>
      <c r="H684" s="11">
        <v>232111.4</v>
      </c>
      <c r="I684" s="7" t="e">
        <f>#REF!+#REF!+I685+I763</f>
        <v>#REF!</v>
      </c>
      <c r="J684" s="7" t="e">
        <f>#REF!+#REF!+J685+J763</f>
        <v>#REF!</v>
      </c>
      <c r="K684" s="7" t="e">
        <f>#REF!+#REF!+K685+K763</f>
        <v>#REF!</v>
      </c>
      <c r="L684" s="7" t="e">
        <f>#REF!+#REF!+L685+L763</f>
        <v>#REF!</v>
      </c>
      <c r="M684" s="7" t="e">
        <f>#REF!+#REF!+M685+M763</f>
        <v>#REF!</v>
      </c>
      <c r="N684" s="7">
        <v>253991.4</v>
      </c>
      <c r="O684" s="7">
        <v>253991.4</v>
      </c>
      <c r="P684" s="349">
        <v>253614.2</v>
      </c>
      <c r="Q684" s="257">
        <v>99.85</v>
      </c>
    </row>
    <row r="685" spans="1:17" s="12" customFormat="1" ht="31.5">
      <c r="A685" s="8" t="s">
        <v>103</v>
      </c>
      <c r="B685" s="10" t="s">
        <v>505</v>
      </c>
      <c r="C685" s="10" t="s">
        <v>11</v>
      </c>
      <c r="D685" s="10" t="s">
        <v>31</v>
      </c>
      <c r="E685" s="65" t="s">
        <v>104</v>
      </c>
      <c r="F685" s="10"/>
      <c r="G685" s="11">
        <v>7151.5</v>
      </c>
      <c r="H685" s="11">
        <v>229111.4</v>
      </c>
      <c r="I685" s="7" t="e">
        <f>I686+I688+I690+I692+I703+I705+I707+I709+I711+#REF!+I718+I720+I722+#REF!+#REF!+I724+I726+I732+I734+I736+I738+I740+I744+I749+I752+I754+I756+I758+#REF!+I761+I694+I696+I698+I701+I714+I728+I730+I742+I747</f>
        <v>#REF!</v>
      </c>
      <c r="J685" s="7" t="e">
        <f>J686+J688+J690+J692+J703+J705+J707+J709+J711+#REF!+J718+J720+J722+#REF!+J724+J726+J732+J734+J736+J738+J740+J744+J749+J752+J754+J756+J758+#REF!+J761+J694+J696+J698+J701+J714+J728+J730+J742+J747+J716</f>
        <v>#REF!</v>
      </c>
      <c r="K685" s="7" t="e">
        <f>K686+K688+K690+K692+K703+K705+K707+K709+K711+#REF!+K718+K720+K722+#REF!+K724+K726+K732+K734+K736+K738+K740+K744+K749+K752+K754+K756+K758+#REF!+K761+K694+K696+K698+K701+K714+K728+K730+K742+K747+K716</f>
        <v>#REF!</v>
      </c>
      <c r="L685" s="7" t="e">
        <f>L686+L688+L690+L692+L703+L705+L707+L709+L711+#REF!+L718+L720+L722+#REF!+L724+L726+L732+L734+L736+L738+L740+L744+L749+L752+L754+L756+L758+#REF!+L761+L694+L696+L698+L701+L714+L728+L730+L742+L747+L716</f>
        <v>#REF!</v>
      </c>
      <c r="M685" s="7" t="e">
        <f>M686+M688+M690+M692+M703+M705+M707+M709+M711+#REF!+M718+M720+M722+#REF!+M724+M726+M732+M734+M736+M738+M740+M744+M749+M752+M754+M756+M758+#REF!+M761+M694+M696+M698+M701+M714+M728+M730+M742+M747+M716</f>
        <v>#REF!</v>
      </c>
      <c r="N685" s="7">
        <v>253791.4</v>
      </c>
      <c r="O685" s="7">
        <v>253791.4</v>
      </c>
      <c r="P685" s="349">
        <v>253424.2</v>
      </c>
      <c r="Q685" s="257">
        <v>99.86</v>
      </c>
    </row>
    <row r="686" spans="1:17" s="12" customFormat="1" ht="31.5">
      <c r="A686" s="8" t="s">
        <v>558</v>
      </c>
      <c r="B686" s="10" t="s">
        <v>505</v>
      </c>
      <c r="C686" s="10" t="s">
        <v>11</v>
      </c>
      <c r="D686" s="10" t="s">
        <v>31</v>
      </c>
      <c r="E686" s="65" t="s">
        <v>559</v>
      </c>
      <c r="F686" s="10"/>
      <c r="G686" s="11">
        <v>4000</v>
      </c>
      <c r="H686" s="11">
        <v>4000</v>
      </c>
      <c r="I686" s="7">
        <f t="shared" ref="I686:M686" si="266">I687</f>
        <v>400</v>
      </c>
      <c r="J686" s="7">
        <f t="shared" si="266"/>
        <v>4400</v>
      </c>
      <c r="K686" s="7">
        <f t="shared" si="266"/>
        <v>300</v>
      </c>
      <c r="L686" s="7">
        <f t="shared" si="266"/>
        <v>4700</v>
      </c>
      <c r="M686" s="7">
        <f t="shared" si="266"/>
        <v>258.7</v>
      </c>
      <c r="N686" s="7">
        <v>4958.7</v>
      </c>
      <c r="O686" s="7">
        <v>4958.7</v>
      </c>
      <c r="P686" s="349">
        <v>4958.7</v>
      </c>
      <c r="Q686" s="257">
        <v>100</v>
      </c>
    </row>
    <row r="687" spans="1:17" s="12" customFormat="1" ht="47.25">
      <c r="A687" s="8" t="s">
        <v>534</v>
      </c>
      <c r="B687" s="10" t="s">
        <v>505</v>
      </c>
      <c r="C687" s="10" t="s">
        <v>11</v>
      </c>
      <c r="D687" s="10" t="s">
        <v>31</v>
      </c>
      <c r="E687" s="65" t="s">
        <v>559</v>
      </c>
      <c r="F687" s="10" t="s">
        <v>375</v>
      </c>
      <c r="G687" s="11">
        <v>4000</v>
      </c>
      <c r="H687" s="31">
        <v>4000</v>
      </c>
      <c r="I687" s="7">
        <v>400</v>
      </c>
      <c r="J687" s="7">
        <f>H687+I687</f>
        <v>4400</v>
      </c>
      <c r="K687" s="7">
        <v>300</v>
      </c>
      <c r="L687" s="7">
        <f>J687+K687</f>
        <v>4700</v>
      </c>
      <c r="M687" s="7">
        <v>258.7</v>
      </c>
      <c r="N687" s="7">
        <v>4958.7</v>
      </c>
      <c r="O687" s="7">
        <v>4958.7</v>
      </c>
      <c r="P687" s="349">
        <v>4958.7</v>
      </c>
      <c r="Q687" s="257">
        <v>100</v>
      </c>
    </row>
    <row r="688" spans="1:17" s="12" customFormat="1" ht="31.5">
      <c r="A688" s="8" t="s">
        <v>560</v>
      </c>
      <c r="B688" s="10" t="s">
        <v>505</v>
      </c>
      <c r="C688" s="10" t="s">
        <v>11</v>
      </c>
      <c r="D688" s="10" t="s">
        <v>31</v>
      </c>
      <c r="E688" s="65" t="s">
        <v>561</v>
      </c>
      <c r="F688" s="10"/>
      <c r="G688" s="11">
        <v>1000</v>
      </c>
      <c r="H688" s="11">
        <v>1000</v>
      </c>
      <c r="I688" s="7">
        <f t="shared" ref="I688:M688" si="267">I689</f>
        <v>0</v>
      </c>
      <c r="J688" s="7">
        <f t="shared" si="267"/>
        <v>1000</v>
      </c>
      <c r="K688" s="7">
        <f t="shared" si="267"/>
        <v>-100</v>
      </c>
      <c r="L688" s="7">
        <f t="shared" si="267"/>
        <v>900</v>
      </c>
      <c r="M688" s="7">
        <f t="shared" si="267"/>
        <v>0</v>
      </c>
      <c r="N688" s="7">
        <v>900</v>
      </c>
      <c r="O688" s="7">
        <v>900</v>
      </c>
      <c r="P688" s="349">
        <v>796.8</v>
      </c>
      <c r="Q688" s="257">
        <v>88.53</v>
      </c>
    </row>
    <row r="689" spans="1:17" s="12" customFormat="1">
      <c r="A689" s="8" t="s">
        <v>546</v>
      </c>
      <c r="B689" s="10" t="s">
        <v>505</v>
      </c>
      <c r="C689" s="10" t="s">
        <v>11</v>
      </c>
      <c r="D689" s="10" t="s">
        <v>31</v>
      </c>
      <c r="E689" s="65" t="s">
        <v>561</v>
      </c>
      <c r="F689" s="10" t="s">
        <v>374</v>
      </c>
      <c r="G689" s="11">
        <v>1000</v>
      </c>
      <c r="H689" s="31">
        <v>1000</v>
      </c>
      <c r="I689" s="7"/>
      <c r="J689" s="7">
        <f>H689+I689</f>
        <v>1000</v>
      </c>
      <c r="K689" s="7">
        <v>-100</v>
      </c>
      <c r="L689" s="7">
        <f>J689+K689</f>
        <v>900</v>
      </c>
      <c r="M689" s="7"/>
      <c r="N689" s="7">
        <v>900</v>
      </c>
      <c r="O689" s="7">
        <v>900</v>
      </c>
      <c r="P689" s="349">
        <v>796.8</v>
      </c>
      <c r="Q689" s="257">
        <v>88.53</v>
      </c>
    </row>
    <row r="690" spans="1:17" s="12" customFormat="1" ht="31.5">
      <c r="A690" s="8" t="s">
        <v>105</v>
      </c>
      <c r="B690" s="10" t="s">
        <v>505</v>
      </c>
      <c r="C690" s="10" t="s">
        <v>11</v>
      </c>
      <c r="D690" s="10" t="s">
        <v>31</v>
      </c>
      <c r="E690" s="65" t="s">
        <v>106</v>
      </c>
      <c r="F690" s="10"/>
      <c r="G690" s="11">
        <v>-410</v>
      </c>
      <c r="H690" s="11">
        <v>1000</v>
      </c>
      <c r="I690" s="7">
        <f t="shared" ref="I690:M690" si="268">I691</f>
        <v>0</v>
      </c>
      <c r="J690" s="7">
        <f t="shared" si="268"/>
        <v>1000</v>
      </c>
      <c r="K690" s="7">
        <f t="shared" si="268"/>
        <v>100</v>
      </c>
      <c r="L690" s="7">
        <f t="shared" si="268"/>
        <v>1100</v>
      </c>
      <c r="M690" s="7">
        <f t="shared" si="268"/>
        <v>70</v>
      </c>
      <c r="N690" s="7">
        <v>1170</v>
      </c>
      <c r="O690" s="7">
        <v>1170</v>
      </c>
      <c r="P690" s="349">
        <v>1170</v>
      </c>
      <c r="Q690" s="257">
        <v>100</v>
      </c>
    </row>
    <row r="691" spans="1:17" s="12" customFormat="1" ht="31.5">
      <c r="A691" s="8" t="s">
        <v>361</v>
      </c>
      <c r="B691" s="10" t="s">
        <v>505</v>
      </c>
      <c r="C691" s="10" t="s">
        <v>11</v>
      </c>
      <c r="D691" s="10" t="s">
        <v>31</v>
      </c>
      <c r="E691" s="65" t="s">
        <v>106</v>
      </c>
      <c r="F691" s="10" t="s">
        <v>333</v>
      </c>
      <c r="G691" s="11">
        <v>-410</v>
      </c>
      <c r="H691" s="31">
        <v>1000</v>
      </c>
      <c r="I691" s="7"/>
      <c r="J691" s="7">
        <f>H691+I691</f>
        <v>1000</v>
      </c>
      <c r="K691" s="7">
        <v>100</v>
      </c>
      <c r="L691" s="7">
        <f>J691+K691</f>
        <v>1100</v>
      </c>
      <c r="M691" s="7">
        <v>70</v>
      </c>
      <c r="N691" s="7">
        <v>1170</v>
      </c>
      <c r="O691" s="7">
        <v>1170</v>
      </c>
      <c r="P691" s="349">
        <v>1170</v>
      </c>
      <c r="Q691" s="257">
        <v>100</v>
      </c>
    </row>
    <row r="692" spans="1:17" s="12" customFormat="1" ht="47.25">
      <c r="A692" s="8" t="s">
        <v>895</v>
      </c>
      <c r="B692" s="10" t="s">
        <v>505</v>
      </c>
      <c r="C692" s="10" t="s">
        <v>11</v>
      </c>
      <c r="D692" s="10" t="s">
        <v>31</v>
      </c>
      <c r="E692" s="65" t="s">
        <v>562</v>
      </c>
      <c r="F692" s="10"/>
      <c r="G692" s="11">
        <v>3000</v>
      </c>
      <c r="H692" s="11">
        <v>3000</v>
      </c>
      <c r="I692" s="7">
        <f t="shared" ref="I692:M692" si="269">I693</f>
        <v>2500</v>
      </c>
      <c r="J692" s="7">
        <f t="shared" si="269"/>
        <v>5500</v>
      </c>
      <c r="K692" s="7">
        <f t="shared" si="269"/>
        <v>0</v>
      </c>
      <c r="L692" s="7">
        <f t="shared" si="269"/>
        <v>5500</v>
      </c>
      <c r="M692" s="7">
        <f t="shared" si="269"/>
        <v>0</v>
      </c>
      <c r="N692" s="7">
        <v>5500</v>
      </c>
      <c r="O692" s="7">
        <v>5500</v>
      </c>
      <c r="P692" s="349">
        <v>5500</v>
      </c>
      <c r="Q692" s="257">
        <v>100</v>
      </c>
    </row>
    <row r="693" spans="1:17" s="12" customFormat="1" ht="47.25">
      <c r="A693" s="8" t="s">
        <v>534</v>
      </c>
      <c r="B693" s="10" t="s">
        <v>505</v>
      </c>
      <c r="C693" s="10" t="s">
        <v>11</v>
      </c>
      <c r="D693" s="10" t="s">
        <v>31</v>
      </c>
      <c r="E693" s="65" t="s">
        <v>562</v>
      </c>
      <c r="F693" s="10" t="s">
        <v>375</v>
      </c>
      <c r="G693" s="11">
        <v>3000</v>
      </c>
      <c r="H693" s="31">
        <v>3000</v>
      </c>
      <c r="I693" s="7">
        <v>2500</v>
      </c>
      <c r="J693" s="7">
        <f>H693+I693</f>
        <v>5500</v>
      </c>
      <c r="K693" s="7"/>
      <c r="L693" s="7">
        <f>J693+K693</f>
        <v>5500</v>
      </c>
      <c r="M693" s="7"/>
      <c r="N693" s="7">
        <v>5500</v>
      </c>
      <c r="O693" s="7">
        <v>5500</v>
      </c>
      <c r="P693" s="349">
        <v>5500</v>
      </c>
      <c r="Q693" s="257">
        <v>100</v>
      </c>
    </row>
    <row r="694" spans="1:17" s="12" customFormat="1" ht="31.5">
      <c r="A694" s="8" t="s">
        <v>896</v>
      </c>
      <c r="B694" s="10" t="s">
        <v>505</v>
      </c>
      <c r="C694" s="10" t="s">
        <v>11</v>
      </c>
      <c r="D694" s="10" t="s">
        <v>31</v>
      </c>
      <c r="E694" s="65" t="s">
        <v>856</v>
      </c>
      <c r="F694" s="10"/>
      <c r="G694" s="11"/>
      <c r="H694" s="31">
        <f t="shared" ref="H694:M694" si="270">H695</f>
        <v>0</v>
      </c>
      <c r="I694" s="31">
        <f t="shared" si="270"/>
        <v>8000</v>
      </c>
      <c r="J694" s="36">
        <f t="shared" si="270"/>
        <v>8000</v>
      </c>
      <c r="K694" s="36">
        <f t="shared" si="270"/>
        <v>0</v>
      </c>
      <c r="L694" s="36">
        <f t="shared" si="270"/>
        <v>8000</v>
      </c>
      <c r="M694" s="36">
        <f t="shared" si="270"/>
        <v>0</v>
      </c>
      <c r="N694" s="36">
        <v>8000</v>
      </c>
      <c r="O694" s="36">
        <v>8000</v>
      </c>
      <c r="P694" s="350">
        <v>8000</v>
      </c>
      <c r="Q694" s="257">
        <v>100</v>
      </c>
    </row>
    <row r="695" spans="1:17" s="12" customFormat="1" ht="47.25">
      <c r="A695" s="8" t="s">
        <v>534</v>
      </c>
      <c r="B695" s="10" t="s">
        <v>505</v>
      </c>
      <c r="C695" s="10" t="s">
        <v>11</v>
      </c>
      <c r="D695" s="10" t="s">
        <v>31</v>
      </c>
      <c r="E695" s="65" t="s">
        <v>856</v>
      </c>
      <c r="F695" s="10" t="s">
        <v>375</v>
      </c>
      <c r="G695" s="11"/>
      <c r="H695" s="31"/>
      <c r="I695" s="31">
        <v>8000</v>
      </c>
      <c r="J695" s="36">
        <f>H695+I695</f>
        <v>8000</v>
      </c>
      <c r="K695" s="36"/>
      <c r="L695" s="36">
        <f>J695+K695</f>
        <v>8000</v>
      </c>
      <c r="M695" s="36"/>
      <c r="N695" s="36">
        <v>8000</v>
      </c>
      <c r="O695" s="7">
        <v>8000</v>
      </c>
      <c r="P695" s="349">
        <v>8000</v>
      </c>
      <c r="Q695" s="257">
        <v>100</v>
      </c>
    </row>
    <row r="696" spans="1:17" s="12" customFormat="1" ht="31.5">
      <c r="A696" s="8" t="s">
        <v>897</v>
      </c>
      <c r="B696" s="10" t="s">
        <v>505</v>
      </c>
      <c r="C696" s="10" t="s">
        <v>11</v>
      </c>
      <c r="D696" s="10" t="s">
        <v>31</v>
      </c>
      <c r="E696" s="65" t="s">
        <v>857</v>
      </c>
      <c r="F696" s="10"/>
      <c r="G696" s="11"/>
      <c r="H696" s="31">
        <f t="shared" ref="H696:M696" si="271">H697</f>
        <v>0</v>
      </c>
      <c r="I696" s="31">
        <f t="shared" si="271"/>
        <v>18000</v>
      </c>
      <c r="J696" s="36">
        <f t="shared" si="271"/>
        <v>18000</v>
      </c>
      <c r="K696" s="36">
        <f t="shared" si="271"/>
        <v>5000</v>
      </c>
      <c r="L696" s="36">
        <f t="shared" si="271"/>
        <v>23000</v>
      </c>
      <c r="M696" s="36">
        <f t="shared" si="271"/>
        <v>0</v>
      </c>
      <c r="N696" s="36">
        <v>23000</v>
      </c>
      <c r="O696" s="36">
        <v>23000</v>
      </c>
      <c r="P696" s="350">
        <v>23000</v>
      </c>
      <c r="Q696" s="257">
        <v>100</v>
      </c>
    </row>
    <row r="697" spans="1:17" s="12" customFormat="1" ht="47.25">
      <c r="A697" s="8" t="s">
        <v>534</v>
      </c>
      <c r="B697" s="10" t="s">
        <v>505</v>
      </c>
      <c r="C697" s="10" t="s">
        <v>11</v>
      </c>
      <c r="D697" s="10" t="s">
        <v>31</v>
      </c>
      <c r="E697" s="65" t="s">
        <v>858</v>
      </c>
      <c r="F697" s="10" t="s">
        <v>375</v>
      </c>
      <c r="G697" s="11"/>
      <c r="H697" s="31"/>
      <c r="I697" s="31">
        <v>18000</v>
      </c>
      <c r="J697" s="36">
        <f>H697+I697</f>
        <v>18000</v>
      </c>
      <c r="K697" s="36">
        <f>1000+4000</f>
        <v>5000</v>
      </c>
      <c r="L697" s="36">
        <f>J697+K697</f>
        <v>23000</v>
      </c>
      <c r="M697" s="36"/>
      <c r="N697" s="36">
        <v>23000</v>
      </c>
      <c r="O697" s="7">
        <v>23000</v>
      </c>
      <c r="P697" s="349">
        <v>23000</v>
      </c>
      <c r="Q697" s="257">
        <v>100</v>
      </c>
    </row>
    <row r="698" spans="1:17" s="12" customFormat="1" ht="31.5">
      <c r="A698" s="8" t="s">
        <v>898</v>
      </c>
      <c r="B698" s="10" t="s">
        <v>505</v>
      </c>
      <c r="C698" s="10" t="s">
        <v>11</v>
      </c>
      <c r="D698" s="10" t="s">
        <v>31</v>
      </c>
      <c r="E698" s="65" t="s">
        <v>859</v>
      </c>
      <c r="F698" s="10"/>
      <c r="G698" s="11"/>
      <c r="H698" s="31">
        <f t="shared" ref="H698:M698" si="272">H699</f>
        <v>0</v>
      </c>
      <c r="I698" s="31">
        <f t="shared" si="272"/>
        <v>6000</v>
      </c>
      <c r="J698" s="36">
        <f t="shared" si="272"/>
        <v>6000</v>
      </c>
      <c r="K698" s="36">
        <f t="shared" si="272"/>
        <v>3000</v>
      </c>
      <c r="L698" s="36">
        <f t="shared" si="272"/>
        <v>9000</v>
      </c>
      <c r="M698" s="36">
        <f t="shared" si="272"/>
        <v>0</v>
      </c>
      <c r="N698" s="36">
        <v>9000</v>
      </c>
      <c r="O698" s="36">
        <v>9000</v>
      </c>
      <c r="P698" s="350">
        <v>9000</v>
      </c>
      <c r="Q698" s="257">
        <v>100</v>
      </c>
    </row>
    <row r="699" spans="1:17" s="12" customFormat="1" ht="47.25">
      <c r="A699" s="8" t="s">
        <v>534</v>
      </c>
      <c r="B699" s="10" t="s">
        <v>505</v>
      </c>
      <c r="C699" s="10" t="s">
        <v>11</v>
      </c>
      <c r="D699" s="10" t="s">
        <v>31</v>
      </c>
      <c r="E699" s="65" t="s">
        <v>859</v>
      </c>
      <c r="F699" s="10" t="s">
        <v>375</v>
      </c>
      <c r="G699" s="11"/>
      <c r="H699" s="31"/>
      <c r="I699" s="7">
        <v>6000</v>
      </c>
      <c r="J699" s="36">
        <f>H699+I699</f>
        <v>6000</v>
      </c>
      <c r="K699" s="36">
        <v>3000</v>
      </c>
      <c r="L699" s="36">
        <f>J699+K699</f>
        <v>9000</v>
      </c>
      <c r="M699" s="36"/>
      <c r="N699" s="36">
        <v>9000</v>
      </c>
      <c r="O699" s="7">
        <v>9000</v>
      </c>
      <c r="P699" s="349">
        <v>9000</v>
      </c>
      <c r="Q699" s="257">
        <v>100</v>
      </c>
    </row>
    <row r="700" spans="1:17" s="12" customFormat="1">
      <c r="A700" s="8" t="s">
        <v>1002</v>
      </c>
      <c r="B700" s="10" t="s">
        <v>505</v>
      </c>
      <c r="C700" s="10" t="s">
        <v>11</v>
      </c>
      <c r="D700" s="10" t="s">
        <v>31</v>
      </c>
      <c r="E700" s="65" t="s">
        <v>859</v>
      </c>
      <c r="F700" s="10" t="s">
        <v>375</v>
      </c>
      <c r="G700" s="11"/>
      <c r="H700" s="31"/>
      <c r="I700" s="7"/>
      <c r="J700" s="36">
        <v>6000</v>
      </c>
      <c r="K700" s="36">
        <v>3000</v>
      </c>
      <c r="L700" s="36">
        <v>9000</v>
      </c>
      <c r="M700" s="36"/>
      <c r="N700" s="36">
        <v>9000</v>
      </c>
      <c r="O700" s="7">
        <v>9000</v>
      </c>
      <c r="P700" s="349">
        <v>9000</v>
      </c>
      <c r="Q700" s="257">
        <v>100</v>
      </c>
    </row>
    <row r="701" spans="1:17" s="12" customFormat="1" ht="31.5">
      <c r="A701" s="8" t="s">
        <v>899</v>
      </c>
      <c r="B701" s="10" t="s">
        <v>505</v>
      </c>
      <c r="C701" s="10" t="s">
        <v>11</v>
      </c>
      <c r="D701" s="10" t="s">
        <v>31</v>
      </c>
      <c r="E701" s="65" t="s">
        <v>860</v>
      </c>
      <c r="F701" s="10"/>
      <c r="G701" s="11"/>
      <c r="H701" s="31">
        <f t="shared" ref="H701:M701" si="273">H702</f>
        <v>0</v>
      </c>
      <c r="I701" s="31">
        <f t="shared" si="273"/>
        <v>1524</v>
      </c>
      <c r="J701" s="36">
        <f t="shared" si="273"/>
        <v>1524</v>
      </c>
      <c r="K701" s="36">
        <f t="shared" si="273"/>
        <v>1060</v>
      </c>
      <c r="L701" s="36">
        <f t="shared" si="273"/>
        <v>2584</v>
      </c>
      <c r="M701" s="36">
        <f t="shared" si="273"/>
        <v>-1003.7</v>
      </c>
      <c r="N701" s="36">
        <v>1580.3</v>
      </c>
      <c r="O701" s="36">
        <v>1580.3</v>
      </c>
      <c r="P701" s="350">
        <v>1580.3</v>
      </c>
      <c r="Q701" s="257">
        <v>100</v>
      </c>
    </row>
    <row r="702" spans="1:17" s="12" customFormat="1" ht="47.25">
      <c r="A702" s="8" t="s">
        <v>534</v>
      </c>
      <c r="B702" s="10" t="s">
        <v>505</v>
      </c>
      <c r="C702" s="10" t="s">
        <v>11</v>
      </c>
      <c r="D702" s="10" t="s">
        <v>31</v>
      </c>
      <c r="E702" s="65" t="s">
        <v>860</v>
      </c>
      <c r="F702" s="10" t="s">
        <v>375</v>
      </c>
      <c r="G702" s="11"/>
      <c r="H702" s="31"/>
      <c r="I702" s="7">
        <v>1524</v>
      </c>
      <c r="J702" s="36">
        <f>H702+I702</f>
        <v>1524</v>
      </c>
      <c r="K702" s="36">
        <f>1000+60</f>
        <v>1060</v>
      </c>
      <c r="L702" s="36">
        <f>J702+K702</f>
        <v>2584</v>
      </c>
      <c r="M702" s="36">
        <f>-1000-3.7</f>
        <v>-1003.7</v>
      </c>
      <c r="N702" s="36">
        <v>1580.3</v>
      </c>
      <c r="O702" s="7">
        <v>1580.3</v>
      </c>
      <c r="P702" s="349">
        <v>1580.3</v>
      </c>
      <c r="Q702" s="257">
        <v>100</v>
      </c>
    </row>
    <row r="703" spans="1:17" s="12" customFormat="1" ht="47.25">
      <c r="A703" s="8" t="s">
        <v>900</v>
      </c>
      <c r="B703" s="10" t="s">
        <v>505</v>
      </c>
      <c r="C703" s="10" t="s">
        <v>11</v>
      </c>
      <c r="D703" s="10" t="s">
        <v>31</v>
      </c>
      <c r="E703" s="65" t="s">
        <v>107</v>
      </c>
      <c r="F703" s="10"/>
      <c r="G703" s="11">
        <v>0</v>
      </c>
      <c r="H703" s="11">
        <v>7100</v>
      </c>
      <c r="I703" s="7">
        <f t="shared" ref="I703:M703" si="274">I704</f>
        <v>0</v>
      </c>
      <c r="J703" s="7">
        <f t="shared" si="274"/>
        <v>7100</v>
      </c>
      <c r="K703" s="7">
        <f t="shared" si="274"/>
        <v>0</v>
      </c>
      <c r="L703" s="7">
        <f t="shared" si="274"/>
        <v>7100</v>
      </c>
      <c r="M703" s="7">
        <f t="shared" si="274"/>
        <v>0</v>
      </c>
      <c r="N703" s="7">
        <v>7100</v>
      </c>
      <c r="O703" s="7">
        <v>7100</v>
      </c>
      <c r="P703" s="349">
        <v>7100</v>
      </c>
      <c r="Q703" s="257">
        <v>100</v>
      </c>
    </row>
    <row r="704" spans="1:17" s="12" customFormat="1" ht="47.25">
      <c r="A704" s="8" t="s">
        <v>534</v>
      </c>
      <c r="B704" s="10" t="s">
        <v>505</v>
      </c>
      <c r="C704" s="10" t="s">
        <v>11</v>
      </c>
      <c r="D704" s="10" t="s">
        <v>31</v>
      </c>
      <c r="E704" s="65" t="s">
        <v>107</v>
      </c>
      <c r="F704" s="10" t="s">
        <v>375</v>
      </c>
      <c r="G704" s="11">
        <v>0</v>
      </c>
      <c r="H704" s="31">
        <v>7100</v>
      </c>
      <c r="I704" s="7"/>
      <c r="J704" s="7">
        <f>H704+I704</f>
        <v>7100</v>
      </c>
      <c r="K704" s="7"/>
      <c r="L704" s="7">
        <f>J704+K704</f>
        <v>7100</v>
      </c>
      <c r="M704" s="7"/>
      <c r="N704" s="7">
        <v>7100</v>
      </c>
      <c r="O704" s="7">
        <v>7100</v>
      </c>
      <c r="P704" s="349">
        <v>7100</v>
      </c>
      <c r="Q704" s="257">
        <v>100</v>
      </c>
    </row>
    <row r="705" spans="1:17" s="12" customFormat="1">
      <c r="A705" s="8" t="s">
        <v>108</v>
      </c>
      <c r="B705" s="10" t="s">
        <v>505</v>
      </c>
      <c r="C705" s="10" t="s">
        <v>11</v>
      </c>
      <c r="D705" s="10" t="s">
        <v>31</v>
      </c>
      <c r="E705" s="65" t="s">
        <v>109</v>
      </c>
      <c r="F705" s="10"/>
      <c r="G705" s="11">
        <v>0</v>
      </c>
      <c r="H705" s="11">
        <v>18000</v>
      </c>
      <c r="I705" s="7">
        <f t="shared" ref="I705:M705" si="275">I706</f>
        <v>-8000</v>
      </c>
      <c r="J705" s="7">
        <f t="shared" si="275"/>
        <v>10000</v>
      </c>
      <c r="K705" s="7">
        <f t="shared" si="275"/>
        <v>0</v>
      </c>
      <c r="L705" s="7">
        <f t="shared" si="275"/>
        <v>10000</v>
      </c>
      <c r="M705" s="7">
        <f t="shared" si="275"/>
        <v>-258.7</v>
      </c>
      <c r="N705" s="7">
        <v>9741.2999999999993</v>
      </c>
      <c r="O705" s="7">
        <v>9741.2999999999993</v>
      </c>
      <c r="P705" s="349">
        <v>9741.2999999999993</v>
      </c>
      <c r="Q705" s="257">
        <v>100</v>
      </c>
    </row>
    <row r="706" spans="1:17" s="12" customFormat="1" ht="47.25">
      <c r="A706" s="8" t="s">
        <v>534</v>
      </c>
      <c r="B706" s="10" t="s">
        <v>505</v>
      </c>
      <c r="C706" s="10" t="s">
        <v>11</v>
      </c>
      <c r="D706" s="10" t="s">
        <v>31</v>
      </c>
      <c r="E706" s="65" t="s">
        <v>109</v>
      </c>
      <c r="F706" s="10" t="s">
        <v>375</v>
      </c>
      <c r="G706" s="11">
        <v>0</v>
      </c>
      <c r="H706" s="31">
        <v>18000</v>
      </c>
      <c r="I706" s="7">
        <v>-8000</v>
      </c>
      <c r="J706" s="7">
        <f>H706+I706</f>
        <v>10000</v>
      </c>
      <c r="K706" s="7"/>
      <c r="L706" s="7">
        <f>J706+K706</f>
        <v>10000</v>
      </c>
      <c r="M706" s="7">
        <v>-258.7</v>
      </c>
      <c r="N706" s="7">
        <v>9741.2999999999993</v>
      </c>
      <c r="O706" s="7">
        <v>9741.2999999999993</v>
      </c>
      <c r="P706" s="349">
        <v>9741.2999999999993</v>
      </c>
      <c r="Q706" s="257">
        <v>100</v>
      </c>
    </row>
    <row r="707" spans="1:17" s="12" customFormat="1" ht="63">
      <c r="A707" s="8" t="s">
        <v>901</v>
      </c>
      <c r="B707" s="10" t="s">
        <v>505</v>
      </c>
      <c r="C707" s="10" t="s">
        <v>11</v>
      </c>
      <c r="D707" s="10" t="s">
        <v>31</v>
      </c>
      <c r="E707" s="65" t="s">
        <v>110</v>
      </c>
      <c r="F707" s="10"/>
      <c r="G707" s="11">
        <v>0</v>
      </c>
      <c r="H707" s="11">
        <v>20000</v>
      </c>
      <c r="I707" s="7">
        <f t="shared" ref="I707:M707" si="276">I708</f>
        <v>-2006</v>
      </c>
      <c r="J707" s="7">
        <f t="shared" si="276"/>
        <v>17994</v>
      </c>
      <c r="K707" s="7">
        <f t="shared" si="276"/>
        <v>-7059</v>
      </c>
      <c r="L707" s="7">
        <f t="shared" si="276"/>
        <v>10935</v>
      </c>
      <c r="M707" s="7">
        <f t="shared" si="276"/>
        <v>-1325.4</v>
      </c>
      <c r="N707" s="7">
        <v>9609.6</v>
      </c>
      <c r="O707" s="7">
        <v>9609.6</v>
      </c>
      <c r="P707" s="349">
        <v>9609.6</v>
      </c>
      <c r="Q707" s="257">
        <v>100</v>
      </c>
    </row>
    <row r="708" spans="1:17" s="12" customFormat="1" ht="47.25">
      <c r="A708" s="8" t="s">
        <v>534</v>
      </c>
      <c r="B708" s="10" t="s">
        <v>505</v>
      </c>
      <c r="C708" s="10" t="s">
        <v>11</v>
      </c>
      <c r="D708" s="10" t="s">
        <v>31</v>
      </c>
      <c r="E708" s="65" t="s">
        <v>110</v>
      </c>
      <c r="F708" s="10" t="s">
        <v>375</v>
      </c>
      <c r="G708" s="11">
        <v>0</v>
      </c>
      <c r="H708" s="31">
        <v>20000</v>
      </c>
      <c r="I708" s="7">
        <v>-2006</v>
      </c>
      <c r="J708" s="7">
        <f>H708+I708</f>
        <v>17994</v>
      </c>
      <c r="K708" s="7">
        <f>-2200-1799-60-3000</f>
        <v>-7059</v>
      </c>
      <c r="L708" s="7">
        <f>J708+K708</f>
        <v>10935</v>
      </c>
      <c r="M708" s="7">
        <f>-570-70.6-755.5+70.6+0.1</f>
        <v>-1325.4</v>
      </c>
      <c r="N708" s="7">
        <v>9609.6</v>
      </c>
      <c r="O708" s="7">
        <v>9609.6</v>
      </c>
      <c r="P708" s="349">
        <v>9609.6</v>
      </c>
      <c r="Q708" s="257">
        <v>100</v>
      </c>
    </row>
    <row r="709" spans="1:17" s="12" customFormat="1" ht="31.5">
      <c r="A709" s="8" t="s">
        <v>111</v>
      </c>
      <c r="B709" s="10" t="s">
        <v>505</v>
      </c>
      <c r="C709" s="10" t="s">
        <v>11</v>
      </c>
      <c r="D709" s="10" t="s">
        <v>31</v>
      </c>
      <c r="E709" s="65" t="s">
        <v>112</v>
      </c>
      <c r="F709" s="10"/>
      <c r="G709" s="11">
        <v>-494.5</v>
      </c>
      <c r="H709" s="11">
        <v>57540</v>
      </c>
      <c r="I709" s="7">
        <f t="shared" ref="I709:M709" si="277">I710</f>
        <v>-24000</v>
      </c>
      <c r="J709" s="7">
        <f t="shared" si="277"/>
        <v>33540</v>
      </c>
      <c r="K709" s="7">
        <f t="shared" si="277"/>
        <v>21232</v>
      </c>
      <c r="L709" s="7">
        <f t="shared" si="277"/>
        <v>54772</v>
      </c>
      <c r="M709" s="7">
        <f t="shared" si="277"/>
        <v>2800</v>
      </c>
      <c r="N709" s="7">
        <v>57572</v>
      </c>
      <c r="O709" s="7">
        <v>57572</v>
      </c>
      <c r="P709" s="349">
        <v>57572</v>
      </c>
      <c r="Q709" s="257">
        <v>100</v>
      </c>
    </row>
    <row r="710" spans="1:17" s="12" customFormat="1" ht="47.25">
      <c r="A710" s="8" t="s">
        <v>534</v>
      </c>
      <c r="B710" s="10" t="s">
        <v>505</v>
      </c>
      <c r="C710" s="10" t="s">
        <v>11</v>
      </c>
      <c r="D710" s="10" t="s">
        <v>31</v>
      </c>
      <c r="E710" s="65" t="s">
        <v>112</v>
      </c>
      <c r="F710" s="10" t="s">
        <v>375</v>
      </c>
      <c r="G710" s="11">
        <v>-494.5</v>
      </c>
      <c r="H710" s="31">
        <v>57540</v>
      </c>
      <c r="I710" s="7">
        <v>-24000</v>
      </c>
      <c r="J710" s="7">
        <f>H710+I710</f>
        <v>33540</v>
      </c>
      <c r="K710" s="7">
        <f>2752+18480</f>
        <v>21232</v>
      </c>
      <c r="L710" s="7">
        <f>J710+K710</f>
        <v>54772</v>
      </c>
      <c r="M710" s="7">
        <v>2800</v>
      </c>
      <c r="N710" s="7">
        <v>57572</v>
      </c>
      <c r="O710" s="7">
        <v>57572</v>
      </c>
      <c r="P710" s="349">
        <v>57572</v>
      </c>
      <c r="Q710" s="257">
        <v>100</v>
      </c>
    </row>
    <row r="711" spans="1:17" s="12" customFormat="1" ht="47.25">
      <c r="A711" s="8" t="s">
        <v>902</v>
      </c>
      <c r="B711" s="10" t="s">
        <v>505</v>
      </c>
      <c r="C711" s="10" t="s">
        <v>11</v>
      </c>
      <c r="D711" s="10" t="s">
        <v>31</v>
      </c>
      <c r="E711" s="65" t="s">
        <v>113</v>
      </c>
      <c r="F711" s="10"/>
      <c r="G711" s="11">
        <v>0</v>
      </c>
      <c r="H711" s="11">
        <v>22500</v>
      </c>
      <c r="I711" s="7">
        <f t="shared" ref="I711:M711" si="278">I712</f>
        <v>0</v>
      </c>
      <c r="J711" s="7">
        <f t="shared" si="278"/>
        <v>22500</v>
      </c>
      <c r="K711" s="7">
        <f t="shared" si="278"/>
        <v>0</v>
      </c>
      <c r="L711" s="7">
        <f t="shared" si="278"/>
        <v>22500</v>
      </c>
      <c r="M711" s="7">
        <f t="shared" si="278"/>
        <v>0</v>
      </c>
      <c r="N711" s="7">
        <v>22500</v>
      </c>
      <c r="O711" s="7">
        <v>22500</v>
      </c>
      <c r="P711" s="349">
        <v>22497.8</v>
      </c>
      <c r="Q711" s="257">
        <v>99.99</v>
      </c>
    </row>
    <row r="712" spans="1:17" s="12" customFormat="1" ht="47.25">
      <c r="A712" s="8" t="s">
        <v>534</v>
      </c>
      <c r="B712" s="10" t="s">
        <v>505</v>
      </c>
      <c r="C712" s="10" t="s">
        <v>11</v>
      </c>
      <c r="D712" s="10" t="s">
        <v>31</v>
      </c>
      <c r="E712" s="65" t="s">
        <v>113</v>
      </c>
      <c r="F712" s="10" t="s">
        <v>375</v>
      </c>
      <c r="G712" s="11">
        <v>0</v>
      </c>
      <c r="H712" s="31">
        <v>22500</v>
      </c>
      <c r="I712" s="7"/>
      <c r="J712" s="7">
        <f>H712+I712</f>
        <v>22500</v>
      </c>
      <c r="K712" s="7"/>
      <c r="L712" s="7">
        <f>J712+K712</f>
        <v>22500</v>
      </c>
      <c r="M712" s="7"/>
      <c r="N712" s="7">
        <v>22500</v>
      </c>
      <c r="O712" s="7">
        <v>22500</v>
      </c>
      <c r="P712" s="349">
        <v>22497.8</v>
      </c>
      <c r="Q712" s="257">
        <v>99.99</v>
      </c>
    </row>
    <row r="713" spans="1:17" s="12" customFormat="1">
      <c r="A713" s="8" t="s">
        <v>1003</v>
      </c>
      <c r="B713" s="10" t="s">
        <v>505</v>
      </c>
      <c r="C713" s="10" t="s">
        <v>11</v>
      </c>
      <c r="D713" s="10" t="s">
        <v>31</v>
      </c>
      <c r="E713" s="65" t="s">
        <v>113</v>
      </c>
      <c r="F713" s="10" t="s">
        <v>375</v>
      </c>
      <c r="G713" s="11"/>
      <c r="H713" s="31"/>
      <c r="I713" s="7"/>
      <c r="J713" s="7">
        <v>22500</v>
      </c>
      <c r="K713" s="7"/>
      <c r="L713" s="7">
        <v>22500</v>
      </c>
      <c r="M713" s="7"/>
      <c r="N713" s="7">
        <v>22500</v>
      </c>
      <c r="O713" s="7">
        <v>22500</v>
      </c>
      <c r="P713" s="349">
        <v>22497.8</v>
      </c>
      <c r="Q713" s="257">
        <v>99.99</v>
      </c>
    </row>
    <row r="714" spans="1:17" s="12" customFormat="1" ht="31.5">
      <c r="A714" s="266" t="s">
        <v>903</v>
      </c>
      <c r="B714" s="10" t="s">
        <v>505</v>
      </c>
      <c r="C714" s="10" t="s">
        <v>11</v>
      </c>
      <c r="D714" s="10" t="s">
        <v>31</v>
      </c>
      <c r="E714" s="65" t="s">
        <v>861</v>
      </c>
      <c r="F714" s="10"/>
      <c r="G714" s="11"/>
      <c r="H714" s="31">
        <f t="shared" ref="H714:M714" si="279">H715</f>
        <v>0</v>
      </c>
      <c r="I714" s="7">
        <f t="shared" si="279"/>
        <v>482</v>
      </c>
      <c r="J714" s="7">
        <f t="shared" si="279"/>
        <v>482</v>
      </c>
      <c r="K714" s="7">
        <f t="shared" si="279"/>
        <v>1200</v>
      </c>
      <c r="L714" s="7">
        <f t="shared" si="279"/>
        <v>1682</v>
      </c>
      <c r="M714" s="7">
        <f t="shared" si="279"/>
        <v>70.599999999999994</v>
      </c>
      <c r="N714" s="7">
        <v>1752.6</v>
      </c>
      <c r="O714" s="7">
        <v>1752.6</v>
      </c>
      <c r="P714" s="349">
        <v>1752.6</v>
      </c>
      <c r="Q714" s="257">
        <v>100</v>
      </c>
    </row>
    <row r="715" spans="1:17" s="12" customFormat="1" ht="47.25">
      <c r="A715" s="8" t="s">
        <v>534</v>
      </c>
      <c r="B715" s="10" t="s">
        <v>505</v>
      </c>
      <c r="C715" s="10" t="s">
        <v>11</v>
      </c>
      <c r="D715" s="10" t="s">
        <v>31</v>
      </c>
      <c r="E715" s="65" t="s">
        <v>861</v>
      </c>
      <c r="F715" s="10" t="s">
        <v>375</v>
      </c>
      <c r="G715" s="11"/>
      <c r="H715" s="31"/>
      <c r="I715" s="7">
        <v>482</v>
      </c>
      <c r="J715" s="7">
        <f>H715+I715</f>
        <v>482</v>
      </c>
      <c r="K715" s="7">
        <v>1200</v>
      </c>
      <c r="L715" s="7">
        <f>J715+K715</f>
        <v>1682</v>
      </c>
      <c r="M715" s="7">
        <v>70.599999999999994</v>
      </c>
      <c r="N715" s="7">
        <v>1752.6</v>
      </c>
      <c r="O715" s="7">
        <v>1752.6</v>
      </c>
      <c r="P715" s="349">
        <v>1752.6</v>
      </c>
      <c r="Q715" s="257">
        <v>100</v>
      </c>
    </row>
    <row r="716" spans="1:17" s="12" customFormat="1">
      <c r="A716" s="8" t="s">
        <v>962</v>
      </c>
      <c r="B716" s="10" t="s">
        <v>505</v>
      </c>
      <c r="C716" s="10" t="s">
        <v>11</v>
      </c>
      <c r="D716" s="10" t="s">
        <v>31</v>
      </c>
      <c r="E716" s="65" t="s">
        <v>961</v>
      </c>
      <c r="F716" s="10"/>
      <c r="G716" s="11"/>
      <c r="H716" s="31"/>
      <c r="I716" s="7"/>
      <c r="J716" s="7">
        <f t="shared" ref="J716:M716" si="280">J717</f>
        <v>0</v>
      </c>
      <c r="K716" s="7">
        <f t="shared" si="280"/>
        <v>1000</v>
      </c>
      <c r="L716" s="7">
        <f t="shared" si="280"/>
        <v>1000</v>
      </c>
      <c r="M716" s="7">
        <f t="shared" si="280"/>
        <v>-7.2</v>
      </c>
      <c r="N716" s="7">
        <v>992.8</v>
      </c>
      <c r="O716" s="7">
        <v>992.8</v>
      </c>
      <c r="P716" s="349">
        <v>992.8</v>
      </c>
      <c r="Q716" s="257">
        <v>100</v>
      </c>
    </row>
    <row r="717" spans="1:17" s="12" customFormat="1" ht="47.25">
      <c r="A717" s="8" t="s">
        <v>534</v>
      </c>
      <c r="B717" s="10" t="s">
        <v>505</v>
      </c>
      <c r="C717" s="10" t="s">
        <v>11</v>
      </c>
      <c r="D717" s="10" t="s">
        <v>31</v>
      </c>
      <c r="E717" s="65" t="s">
        <v>961</v>
      </c>
      <c r="F717" s="10" t="s">
        <v>375</v>
      </c>
      <c r="G717" s="11"/>
      <c r="H717" s="31"/>
      <c r="I717" s="7"/>
      <c r="J717" s="7"/>
      <c r="K717" s="7">
        <v>1000</v>
      </c>
      <c r="L717" s="7">
        <f>J717+K717</f>
        <v>1000</v>
      </c>
      <c r="M717" s="7">
        <v>-7.2</v>
      </c>
      <c r="N717" s="7">
        <v>992.8</v>
      </c>
      <c r="O717" s="7">
        <v>992.8</v>
      </c>
      <c r="P717" s="349">
        <v>992.8</v>
      </c>
      <c r="Q717" s="257">
        <v>100</v>
      </c>
    </row>
    <row r="718" spans="1:17" s="12" customFormat="1">
      <c r="A718" s="8" t="s">
        <v>114</v>
      </c>
      <c r="B718" s="10" t="s">
        <v>505</v>
      </c>
      <c r="C718" s="10" t="s">
        <v>11</v>
      </c>
      <c r="D718" s="10" t="s">
        <v>31</v>
      </c>
      <c r="E718" s="65" t="s">
        <v>115</v>
      </c>
      <c r="F718" s="10"/>
      <c r="G718" s="11">
        <v>0</v>
      </c>
      <c r="H718" s="11">
        <v>800</v>
      </c>
      <c r="I718" s="7">
        <f t="shared" ref="I718:M718" si="281">I719</f>
        <v>0</v>
      </c>
      <c r="J718" s="7">
        <f t="shared" si="281"/>
        <v>800</v>
      </c>
      <c r="K718" s="7">
        <f t="shared" si="281"/>
        <v>0</v>
      </c>
      <c r="L718" s="7">
        <f t="shared" si="281"/>
        <v>800</v>
      </c>
      <c r="M718" s="7">
        <f t="shared" si="281"/>
        <v>35</v>
      </c>
      <c r="N718" s="7">
        <v>835</v>
      </c>
      <c r="O718" s="7">
        <v>835</v>
      </c>
      <c r="P718" s="349">
        <v>835</v>
      </c>
      <c r="Q718" s="257">
        <v>100</v>
      </c>
    </row>
    <row r="719" spans="1:17" s="12" customFormat="1" ht="47.25">
      <c r="A719" s="8" t="s">
        <v>534</v>
      </c>
      <c r="B719" s="10" t="s">
        <v>505</v>
      </c>
      <c r="C719" s="10" t="s">
        <v>11</v>
      </c>
      <c r="D719" s="10" t="s">
        <v>31</v>
      </c>
      <c r="E719" s="65" t="s">
        <v>115</v>
      </c>
      <c r="F719" s="10" t="s">
        <v>375</v>
      </c>
      <c r="G719" s="11">
        <v>0</v>
      </c>
      <c r="H719" s="31">
        <v>800</v>
      </c>
      <c r="I719" s="7"/>
      <c r="J719" s="7">
        <f>H719+I719</f>
        <v>800</v>
      </c>
      <c r="K719" s="7"/>
      <c r="L719" s="7">
        <f>J719+K719</f>
        <v>800</v>
      </c>
      <c r="M719" s="7">
        <f>15+20</f>
        <v>35</v>
      </c>
      <c r="N719" s="7">
        <v>835</v>
      </c>
      <c r="O719" s="7">
        <v>835</v>
      </c>
      <c r="P719" s="349">
        <v>835</v>
      </c>
      <c r="Q719" s="257">
        <v>100</v>
      </c>
    </row>
    <row r="720" spans="1:17" s="12" customFormat="1" ht="31.5">
      <c r="A720" s="8" t="s">
        <v>116</v>
      </c>
      <c r="B720" s="10" t="s">
        <v>505</v>
      </c>
      <c r="C720" s="10" t="s">
        <v>11</v>
      </c>
      <c r="D720" s="10" t="s">
        <v>31</v>
      </c>
      <c r="E720" s="65" t="s">
        <v>117</v>
      </c>
      <c r="F720" s="10"/>
      <c r="G720" s="11">
        <v>500</v>
      </c>
      <c r="H720" s="11">
        <v>1000</v>
      </c>
      <c r="I720" s="7">
        <f t="shared" ref="I720:M720" si="282">I721</f>
        <v>600</v>
      </c>
      <c r="J720" s="7">
        <f t="shared" si="282"/>
        <v>1600</v>
      </c>
      <c r="K720" s="7">
        <f t="shared" si="282"/>
        <v>0</v>
      </c>
      <c r="L720" s="7">
        <f t="shared" si="282"/>
        <v>1600</v>
      </c>
      <c r="M720" s="7">
        <f t="shared" si="282"/>
        <v>-32.5</v>
      </c>
      <c r="N720" s="7">
        <v>1567.5</v>
      </c>
      <c r="O720" s="7">
        <v>1567.5</v>
      </c>
      <c r="P720" s="349">
        <v>1567.5</v>
      </c>
      <c r="Q720" s="257">
        <v>100</v>
      </c>
    </row>
    <row r="721" spans="1:17" s="12" customFormat="1" ht="47.25">
      <c r="A721" s="8" t="s">
        <v>534</v>
      </c>
      <c r="B721" s="10" t="s">
        <v>505</v>
      </c>
      <c r="C721" s="10" t="s">
        <v>11</v>
      </c>
      <c r="D721" s="10" t="s">
        <v>31</v>
      </c>
      <c r="E721" s="65" t="s">
        <v>117</v>
      </c>
      <c r="F721" s="10" t="s">
        <v>375</v>
      </c>
      <c r="G721" s="11">
        <v>500</v>
      </c>
      <c r="H721" s="31">
        <v>1000</v>
      </c>
      <c r="I721" s="7">
        <v>600</v>
      </c>
      <c r="J721" s="7">
        <f>H721+I721</f>
        <v>1600</v>
      </c>
      <c r="K721" s="7"/>
      <c r="L721" s="7">
        <f>J721+K721</f>
        <v>1600</v>
      </c>
      <c r="M721" s="7">
        <v>-32.5</v>
      </c>
      <c r="N721" s="7">
        <v>1567.5</v>
      </c>
      <c r="O721" s="7">
        <v>1567.5</v>
      </c>
      <c r="P721" s="349">
        <v>1567.5</v>
      </c>
      <c r="Q721" s="257">
        <v>100</v>
      </c>
    </row>
    <row r="722" spans="1:17" s="12" customFormat="1" ht="47.25">
      <c r="A722" s="8" t="s">
        <v>904</v>
      </c>
      <c r="B722" s="10" t="s">
        <v>505</v>
      </c>
      <c r="C722" s="10" t="s">
        <v>11</v>
      </c>
      <c r="D722" s="10" t="s">
        <v>31</v>
      </c>
      <c r="E722" s="65" t="s">
        <v>118</v>
      </c>
      <c r="F722" s="10"/>
      <c r="G722" s="11">
        <v>-500</v>
      </c>
      <c r="H722" s="11">
        <v>1600</v>
      </c>
      <c r="I722" s="7">
        <f t="shared" ref="I722:M722" si="283">I723</f>
        <v>300</v>
      </c>
      <c r="J722" s="7">
        <f t="shared" si="283"/>
        <v>1900</v>
      </c>
      <c r="K722" s="7">
        <f t="shared" si="283"/>
        <v>0</v>
      </c>
      <c r="L722" s="7">
        <f t="shared" si="283"/>
        <v>1900</v>
      </c>
      <c r="M722" s="7">
        <f t="shared" si="283"/>
        <v>0</v>
      </c>
      <c r="N722" s="7">
        <v>1900</v>
      </c>
      <c r="O722" s="7">
        <v>1900</v>
      </c>
      <c r="P722" s="349">
        <v>1900</v>
      </c>
      <c r="Q722" s="257">
        <v>100</v>
      </c>
    </row>
    <row r="723" spans="1:17" s="12" customFormat="1" ht="47.25">
      <c r="A723" s="8" t="s">
        <v>534</v>
      </c>
      <c r="B723" s="10" t="s">
        <v>505</v>
      </c>
      <c r="C723" s="10" t="s">
        <v>11</v>
      </c>
      <c r="D723" s="10" t="s">
        <v>31</v>
      </c>
      <c r="E723" s="65" t="s">
        <v>118</v>
      </c>
      <c r="F723" s="10" t="s">
        <v>375</v>
      </c>
      <c r="G723" s="11">
        <v>-500</v>
      </c>
      <c r="H723" s="31">
        <v>1600</v>
      </c>
      <c r="I723" s="7">
        <v>300</v>
      </c>
      <c r="J723" s="7">
        <f>H723+I723</f>
        <v>1900</v>
      </c>
      <c r="K723" s="7"/>
      <c r="L723" s="7">
        <f>J723+K723</f>
        <v>1900</v>
      </c>
      <c r="M723" s="7"/>
      <c r="N723" s="7">
        <v>1900</v>
      </c>
      <c r="O723" s="7">
        <v>1900</v>
      </c>
      <c r="P723" s="349">
        <v>1900</v>
      </c>
      <c r="Q723" s="257">
        <v>100</v>
      </c>
    </row>
    <row r="724" spans="1:17" s="12" customFormat="1" ht="63">
      <c r="A724" s="8" t="s">
        <v>563</v>
      </c>
      <c r="B724" s="10" t="s">
        <v>505</v>
      </c>
      <c r="C724" s="10" t="s">
        <v>11</v>
      </c>
      <c r="D724" s="10" t="s">
        <v>31</v>
      </c>
      <c r="E724" s="65" t="s">
        <v>564</v>
      </c>
      <c r="F724" s="10"/>
      <c r="G724" s="11">
        <v>1100</v>
      </c>
      <c r="H724" s="11">
        <v>1100</v>
      </c>
      <c r="I724" s="7">
        <f t="shared" ref="I724:M724" si="284">I725</f>
        <v>-700</v>
      </c>
      <c r="J724" s="7">
        <f t="shared" si="284"/>
        <v>400</v>
      </c>
      <c r="K724" s="7">
        <f t="shared" si="284"/>
        <v>400</v>
      </c>
      <c r="L724" s="7">
        <f t="shared" si="284"/>
        <v>800</v>
      </c>
      <c r="M724" s="7">
        <f t="shared" si="284"/>
        <v>0</v>
      </c>
      <c r="N724" s="7">
        <v>800</v>
      </c>
      <c r="O724" s="7">
        <v>800</v>
      </c>
      <c r="P724" s="349">
        <v>800</v>
      </c>
      <c r="Q724" s="257">
        <v>100</v>
      </c>
    </row>
    <row r="725" spans="1:17" s="12" customFormat="1" ht="47.25">
      <c r="A725" s="8" t="s">
        <v>534</v>
      </c>
      <c r="B725" s="10" t="s">
        <v>505</v>
      </c>
      <c r="C725" s="10" t="s">
        <v>11</v>
      </c>
      <c r="D725" s="10" t="s">
        <v>31</v>
      </c>
      <c r="E725" s="65" t="s">
        <v>564</v>
      </c>
      <c r="F725" s="10" t="s">
        <v>375</v>
      </c>
      <c r="G725" s="11">
        <v>1100</v>
      </c>
      <c r="H725" s="31">
        <v>1100</v>
      </c>
      <c r="I725" s="7">
        <v>-700</v>
      </c>
      <c r="J725" s="7">
        <f>H725+I725</f>
        <v>400</v>
      </c>
      <c r="K725" s="7">
        <v>400</v>
      </c>
      <c r="L725" s="7">
        <f>J725+K725</f>
        <v>800</v>
      </c>
      <c r="M725" s="7"/>
      <c r="N725" s="7">
        <v>800</v>
      </c>
      <c r="O725" s="7">
        <v>800</v>
      </c>
      <c r="P725" s="349">
        <v>800</v>
      </c>
      <c r="Q725" s="257">
        <v>100</v>
      </c>
    </row>
    <row r="726" spans="1:17" s="12" customFormat="1" ht="47.25">
      <c r="A726" s="8" t="s">
        <v>905</v>
      </c>
      <c r="B726" s="10" t="s">
        <v>505</v>
      </c>
      <c r="C726" s="10" t="s">
        <v>11</v>
      </c>
      <c r="D726" s="10" t="s">
        <v>31</v>
      </c>
      <c r="E726" s="65" t="s">
        <v>565</v>
      </c>
      <c r="F726" s="10"/>
      <c r="G726" s="11">
        <v>500</v>
      </c>
      <c r="H726" s="11">
        <v>500</v>
      </c>
      <c r="I726" s="7">
        <f t="shared" ref="I726:M726" si="285">I727</f>
        <v>-300</v>
      </c>
      <c r="J726" s="7">
        <f t="shared" si="285"/>
        <v>200</v>
      </c>
      <c r="K726" s="7">
        <f t="shared" si="285"/>
        <v>0</v>
      </c>
      <c r="L726" s="7">
        <f t="shared" si="285"/>
        <v>200</v>
      </c>
      <c r="M726" s="7">
        <f t="shared" si="285"/>
        <v>0</v>
      </c>
      <c r="N726" s="7">
        <v>200</v>
      </c>
      <c r="O726" s="7">
        <v>200</v>
      </c>
      <c r="P726" s="349">
        <v>200</v>
      </c>
      <c r="Q726" s="257">
        <v>100</v>
      </c>
    </row>
    <row r="727" spans="1:17" s="12" customFormat="1" ht="47.25">
      <c r="A727" s="8" t="s">
        <v>534</v>
      </c>
      <c r="B727" s="10" t="s">
        <v>505</v>
      </c>
      <c r="C727" s="10" t="s">
        <v>11</v>
      </c>
      <c r="D727" s="10" t="s">
        <v>31</v>
      </c>
      <c r="E727" s="65" t="s">
        <v>565</v>
      </c>
      <c r="F727" s="10" t="s">
        <v>375</v>
      </c>
      <c r="G727" s="11">
        <v>500</v>
      </c>
      <c r="H727" s="31">
        <v>500</v>
      </c>
      <c r="I727" s="7">
        <v>-300</v>
      </c>
      <c r="J727" s="7">
        <f>H727+I727</f>
        <v>200</v>
      </c>
      <c r="K727" s="7"/>
      <c r="L727" s="7">
        <f>J727+K727</f>
        <v>200</v>
      </c>
      <c r="M727" s="7"/>
      <c r="N727" s="7">
        <v>200</v>
      </c>
      <c r="O727" s="7">
        <v>200</v>
      </c>
      <c r="P727" s="349">
        <v>200</v>
      </c>
      <c r="Q727" s="257">
        <v>100</v>
      </c>
    </row>
    <row r="728" spans="1:17" s="12" customFormat="1" ht="63">
      <c r="A728" s="266" t="s">
        <v>906</v>
      </c>
      <c r="B728" s="10" t="s">
        <v>505</v>
      </c>
      <c r="C728" s="10" t="s">
        <v>11</v>
      </c>
      <c r="D728" s="10" t="s">
        <v>31</v>
      </c>
      <c r="E728" s="65" t="s">
        <v>862</v>
      </c>
      <c r="F728" s="10"/>
      <c r="G728" s="11"/>
      <c r="H728" s="31">
        <f t="shared" ref="H728:M728" si="286">H729</f>
        <v>0</v>
      </c>
      <c r="I728" s="31">
        <f t="shared" si="286"/>
        <v>294.3</v>
      </c>
      <c r="J728" s="31">
        <f t="shared" si="286"/>
        <v>294.3</v>
      </c>
      <c r="K728" s="31">
        <f t="shared" si="286"/>
        <v>401.4</v>
      </c>
      <c r="L728" s="31">
        <f t="shared" si="286"/>
        <v>695.7</v>
      </c>
      <c r="M728" s="31">
        <f t="shared" si="286"/>
        <v>-35.6</v>
      </c>
      <c r="N728" s="31">
        <v>660.1</v>
      </c>
      <c r="O728" s="36">
        <v>660.1</v>
      </c>
      <c r="P728" s="350">
        <v>660.1</v>
      </c>
      <c r="Q728" s="257">
        <v>100</v>
      </c>
    </row>
    <row r="729" spans="1:17" s="12" customFormat="1" ht="47.25">
      <c r="A729" s="8" t="s">
        <v>534</v>
      </c>
      <c r="B729" s="10" t="s">
        <v>505</v>
      </c>
      <c r="C729" s="10" t="s">
        <v>11</v>
      </c>
      <c r="D729" s="10" t="s">
        <v>31</v>
      </c>
      <c r="E729" s="65" t="s">
        <v>862</v>
      </c>
      <c r="F729" s="10" t="s">
        <v>375</v>
      </c>
      <c r="G729" s="11"/>
      <c r="H729" s="31"/>
      <c r="I729" s="31">
        <v>294.3</v>
      </c>
      <c r="J729" s="31">
        <f>H729+I729</f>
        <v>294.3</v>
      </c>
      <c r="K729" s="31">
        <v>401.4</v>
      </c>
      <c r="L729" s="31">
        <f>J729+K729</f>
        <v>695.7</v>
      </c>
      <c r="M729" s="31">
        <v>-35.6</v>
      </c>
      <c r="N729" s="31">
        <v>660.1</v>
      </c>
      <c r="O729" s="7">
        <v>660.1</v>
      </c>
      <c r="P729" s="349">
        <v>660.1</v>
      </c>
      <c r="Q729" s="257">
        <v>100</v>
      </c>
    </row>
    <row r="730" spans="1:17" s="12" customFormat="1" ht="78.75">
      <c r="A730" s="266" t="s">
        <v>907</v>
      </c>
      <c r="B730" s="10" t="s">
        <v>505</v>
      </c>
      <c r="C730" s="10" t="s">
        <v>11</v>
      </c>
      <c r="D730" s="10" t="s">
        <v>31</v>
      </c>
      <c r="E730" s="65" t="s">
        <v>863</v>
      </c>
      <c r="F730" s="10"/>
      <c r="G730" s="11"/>
      <c r="H730" s="31">
        <f t="shared" ref="H730:M730" si="287">H731</f>
        <v>0</v>
      </c>
      <c r="I730" s="31">
        <f t="shared" si="287"/>
        <v>256.60000000000002</v>
      </c>
      <c r="J730" s="31">
        <f t="shared" si="287"/>
        <v>256.60000000000002</v>
      </c>
      <c r="K730" s="31">
        <f t="shared" si="287"/>
        <v>418.4</v>
      </c>
      <c r="L730" s="31">
        <f t="shared" si="287"/>
        <v>675</v>
      </c>
      <c r="M730" s="31">
        <f t="shared" si="287"/>
        <v>-37.799999999999997</v>
      </c>
      <c r="N730" s="31">
        <v>637.20000000000005</v>
      </c>
      <c r="O730" s="36">
        <v>642.6</v>
      </c>
      <c r="P730" s="350">
        <v>642.6</v>
      </c>
      <c r="Q730" s="257">
        <v>100</v>
      </c>
    </row>
    <row r="731" spans="1:17" s="12" customFormat="1" ht="47.25">
      <c r="A731" s="8" t="s">
        <v>534</v>
      </c>
      <c r="B731" s="10" t="s">
        <v>505</v>
      </c>
      <c r="C731" s="10" t="s">
        <v>11</v>
      </c>
      <c r="D731" s="10" t="s">
        <v>31</v>
      </c>
      <c r="E731" s="65" t="s">
        <v>863</v>
      </c>
      <c r="F731" s="10" t="s">
        <v>375</v>
      </c>
      <c r="G731" s="11"/>
      <c r="H731" s="31"/>
      <c r="I731" s="7">
        <v>256.60000000000002</v>
      </c>
      <c r="J731" s="7">
        <f>H731+I731</f>
        <v>256.60000000000002</v>
      </c>
      <c r="K731" s="7">
        <f>38.9+379.5</f>
        <v>418.4</v>
      </c>
      <c r="L731" s="7">
        <f>J731+K731</f>
        <v>675</v>
      </c>
      <c r="M731" s="7">
        <v>-37.799999999999997</v>
      </c>
      <c r="N731" s="7">
        <v>637.20000000000005</v>
      </c>
      <c r="O731" s="7">
        <v>642.6</v>
      </c>
      <c r="P731" s="349">
        <v>642.6</v>
      </c>
      <c r="Q731" s="257">
        <v>100</v>
      </c>
    </row>
    <row r="732" spans="1:17" s="12" customFormat="1" ht="141.75">
      <c r="A732" s="8" t="s">
        <v>758</v>
      </c>
      <c r="B732" s="10" t="s">
        <v>505</v>
      </c>
      <c r="C732" s="10" t="s">
        <v>11</v>
      </c>
      <c r="D732" s="10" t="s">
        <v>31</v>
      </c>
      <c r="E732" s="65" t="s">
        <v>119</v>
      </c>
      <c r="F732" s="10"/>
      <c r="G732" s="11">
        <v>0</v>
      </c>
      <c r="H732" s="11">
        <v>6000</v>
      </c>
      <c r="I732" s="7">
        <f t="shared" ref="I732:M732" si="288">I733</f>
        <v>-1417.1</v>
      </c>
      <c r="J732" s="7">
        <f t="shared" si="288"/>
        <v>4582.8999999999996</v>
      </c>
      <c r="K732" s="7">
        <f t="shared" si="288"/>
        <v>-1857.5</v>
      </c>
      <c r="L732" s="7">
        <f t="shared" si="288"/>
        <v>2725.4</v>
      </c>
      <c r="M732" s="7">
        <f t="shared" si="288"/>
        <v>-650</v>
      </c>
      <c r="N732" s="7">
        <v>2075.4</v>
      </c>
      <c r="O732" s="7">
        <v>2075.4</v>
      </c>
      <c r="P732" s="349">
        <v>2075.4</v>
      </c>
      <c r="Q732" s="257">
        <v>100</v>
      </c>
    </row>
    <row r="733" spans="1:17" s="12" customFormat="1" ht="47.25">
      <c r="A733" s="8" t="s">
        <v>534</v>
      </c>
      <c r="B733" s="10" t="s">
        <v>505</v>
      </c>
      <c r="C733" s="10" t="s">
        <v>11</v>
      </c>
      <c r="D733" s="10" t="s">
        <v>31</v>
      </c>
      <c r="E733" s="65" t="s">
        <v>119</v>
      </c>
      <c r="F733" s="10" t="s">
        <v>375</v>
      </c>
      <c r="G733" s="11">
        <v>0</v>
      </c>
      <c r="H733" s="31">
        <v>6000</v>
      </c>
      <c r="I733" s="7">
        <v>-1417.1</v>
      </c>
      <c r="J733" s="7">
        <f>H733+I733</f>
        <v>4582.8999999999996</v>
      </c>
      <c r="K733" s="7">
        <f>-453-200-616.6-587.9</f>
        <v>-1857.5</v>
      </c>
      <c r="L733" s="7">
        <f>J733+K733</f>
        <v>2725.4</v>
      </c>
      <c r="M733" s="7">
        <f>-15-635</f>
        <v>-650</v>
      </c>
      <c r="N733" s="7">
        <v>2075.4</v>
      </c>
      <c r="O733" s="7">
        <v>2075.4</v>
      </c>
      <c r="P733" s="349">
        <v>2075.4</v>
      </c>
      <c r="Q733" s="257">
        <v>100</v>
      </c>
    </row>
    <row r="734" spans="1:17" s="12" customFormat="1" ht="63">
      <c r="A734" s="8" t="s">
        <v>1047</v>
      </c>
      <c r="B734" s="10" t="s">
        <v>505</v>
      </c>
      <c r="C734" s="10" t="s">
        <v>11</v>
      </c>
      <c r="D734" s="10" t="s">
        <v>31</v>
      </c>
      <c r="E734" s="65" t="s">
        <v>120</v>
      </c>
      <c r="F734" s="10"/>
      <c r="G734" s="11">
        <v>7000</v>
      </c>
      <c r="H734" s="11">
        <v>17000</v>
      </c>
      <c r="I734" s="7">
        <f t="shared" ref="I734:M734" si="289">I735</f>
        <v>0</v>
      </c>
      <c r="J734" s="7">
        <f t="shared" si="289"/>
        <v>17000</v>
      </c>
      <c r="K734" s="7">
        <f t="shared" si="289"/>
        <v>-500</v>
      </c>
      <c r="L734" s="7">
        <f t="shared" si="289"/>
        <v>16500</v>
      </c>
      <c r="M734" s="7">
        <f t="shared" si="289"/>
        <v>-3800</v>
      </c>
      <c r="N734" s="7">
        <v>12700</v>
      </c>
      <c r="O734" s="7">
        <v>12783.2</v>
      </c>
      <c r="P734" s="349">
        <v>12616.5</v>
      </c>
      <c r="Q734" s="257">
        <v>98.7</v>
      </c>
    </row>
    <row r="735" spans="1:17" s="12" customFormat="1" ht="47.25">
      <c r="A735" s="8" t="s">
        <v>534</v>
      </c>
      <c r="B735" s="10" t="s">
        <v>505</v>
      </c>
      <c r="C735" s="10" t="s">
        <v>11</v>
      </c>
      <c r="D735" s="10" t="s">
        <v>31</v>
      </c>
      <c r="E735" s="65" t="s">
        <v>120</v>
      </c>
      <c r="F735" s="10" t="s">
        <v>375</v>
      </c>
      <c r="G735" s="11">
        <v>7000</v>
      </c>
      <c r="H735" s="31">
        <v>17000</v>
      </c>
      <c r="I735" s="7"/>
      <c r="J735" s="7">
        <f>H735+I735</f>
        <v>17000</v>
      </c>
      <c r="K735" s="7">
        <v>-500</v>
      </c>
      <c r="L735" s="7">
        <f>J735+K735</f>
        <v>16500</v>
      </c>
      <c r="M735" s="7">
        <v>-3800</v>
      </c>
      <c r="N735" s="7">
        <v>12700</v>
      </c>
      <c r="O735" s="7">
        <v>12783.2</v>
      </c>
      <c r="P735" s="349">
        <v>12616.5</v>
      </c>
      <c r="Q735" s="257">
        <v>98.7</v>
      </c>
    </row>
    <row r="736" spans="1:17" s="12" customFormat="1" ht="126">
      <c r="A736" s="8" t="s">
        <v>535</v>
      </c>
      <c r="B736" s="10" t="s">
        <v>505</v>
      </c>
      <c r="C736" s="10" t="s">
        <v>11</v>
      </c>
      <c r="D736" s="10" t="s">
        <v>31</v>
      </c>
      <c r="E736" s="65" t="s">
        <v>121</v>
      </c>
      <c r="F736" s="10"/>
      <c r="G736" s="11">
        <v>-4000</v>
      </c>
      <c r="H736" s="11">
        <v>4000</v>
      </c>
      <c r="I736" s="7">
        <f t="shared" ref="I736:M736" si="290">I737</f>
        <v>-1161.0999999999999</v>
      </c>
      <c r="J736" s="7">
        <f t="shared" si="290"/>
        <v>2838.9</v>
      </c>
      <c r="K736" s="7">
        <f t="shared" si="290"/>
        <v>0</v>
      </c>
      <c r="L736" s="7">
        <f t="shared" si="290"/>
        <v>2838.9</v>
      </c>
      <c r="M736" s="7">
        <f t="shared" si="290"/>
        <v>0</v>
      </c>
      <c r="N736" s="7">
        <v>2838.9</v>
      </c>
      <c r="O736" s="7">
        <v>2838.9</v>
      </c>
      <c r="P736" s="349">
        <v>2838.9</v>
      </c>
      <c r="Q736" s="257">
        <v>100</v>
      </c>
    </row>
    <row r="737" spans="1:17" s="12" customFormat="1" ht="47.25">
      <c r="A737" s="8" t="s">
        <v>534</v>
      </c>
      <c r="B737" s="10" t="s">
        <v>505</v>
      </c>
      <c r="C737" s="10" t="s">
        <v>11</v>
      </c>
      <c r="D737" s="10" t="s">
        <v>31</v>
      </c>
      <c r="E737" s="65" t="s">
        <v>121</v>
      </c>
      <c r="F737" s="10" t="s">
        <v>375</v>
      </c>
      <c r="G737" s="11">
        <v>-4000</v>
      </c>
      <c r="H737" s="31">
        <v>4000</v>
      </c>
      <c r="I737" s="7">
        <v>-1161.0999999999999</v>
      </c>
      <c r="J737" s="7">
        <f>H737+I737</f>
        <v>2838.9</v>
      </c>
      <c r="K737" s="7"/>
      <c r="L737" s="7">
        <f>J737+K737</f>
        <v>2838.9</v>
      </c>
      <c r="M737" s="7"/>
      <c r="N737" s="7">
        <v>2838.9</v>
      </c>
      <c r="O737" s="7">
        <v>2838.9</v>
      </c>
      <c r="P737" s="349">
        <v>2838.9</v>
      </c>
      <c r="Q737" s="257">
        <v>100</v>
      </c>
    </row>
    <row r="738" spans="1:17" s="12" customFormat="1" ht="31.5">
      <c r="A738" s="8" t="s">
        <v>566</v>
      </c>
      <c r="B738" s="10" t="s">
        <v>505</v>
      </c>
      <c r="C738" s="10" t="s">
        <v>11</v>
      </c>
      <c r="D738" s="10" t="s">
        <v>31</v>
      </c>
      <c r="E738" s="65" t="s">
        <v>567</v>
      </c>
      <c r="F738" s="10"/>
      <c r="G738" s="11">
        <v>8000</v>
      </c>
      <c r="H738" s="11">
        <v>8000</v>
      </c>
      <c r="I738" s="7">
        <f t="shared" ref="I738:M738" si="291">I739</f>
        <v>0</v>
      </c>
      <c r="J738" s="7">
        <f t="shared" si="291"/>
        <v>8000</v>
      </c>
      <c r="K738" s="7">
        <f t="shared" si="291"/>
        <v>0</v>
      </c>
      <c r="L738" s="7">
        <f t="shared" si="291"/>
        <v>8000</v>
      </c>
      <c r="M738" s="7">
        <f t="shared" si="291"/>
        <v>0</v>
      </c>
      <c r="N738" s="7">
        <v>8000</v>
      </c>
      <c r="O738" s="7">
        <v>8000</v>
      </c>
      <c r="P738" s="349">
        <v>8000</v>
      </c>
      <c r="Q738" s="257">
        <v>100</v>
      </c>
    </row>
    <row r="739" spans="1:17" s="12" customFormat="1" ht="47.25">
      <c r="A739" s="8" t="s">
        <v>534</v>
      </c>
      <c r="B739" s="10" t="s">
        <v>505</v>
      </c>
      <c r="C739" s="10" t="s">
        <v>11</v>
      </c>
      <c r="D739" s="10" t="s">
        <v>31</v>
      </c>
      <c r="E739" s="65" t="s">
        <v>567</v>
      </c>
      <c r="F739" s="10" t="s">
        <v>375</v>
      </c>
      <c r="G739" s="11">
        <v>8000</v>
      </c>
      <c r="H739" s="31">
        <v>8000</v>
      </c>
      <c r="I739" s="7"/>
      <c r="J739" s="7">
        <f>H739+I739</f>
        <v>8000</v>
      </c>
      <c r="K739" s="7"/>
      <c r="L739" s="7">
        <f>J739+K739</f>
        <v>8000</v>
      </c>
      <c r="M739" s="7"/>
      <c r="N739" s="7">
        <v>8000</v>
      </c>
      <c r="O739" s="7">
        <v>8000</v>
      </c>
      <c r="P739" s="349">
        <v>8000</v>
      </c>
      <c r="Q739" s="257">
        <v>100</v>
      </c>
    </row>
    <row r="740" spans="1:17" s="12" customFormat="1" ht="31.5">
      <c r="A740" s="8" t="s">
        <v>568</v>
      </c>
      <c r="B740" s="10" t="s">
        <v>505</v>
      </c>
      <c r="C740" s="10" t="s">
        <v>11</v>
      </c>
      <c r="D740" s="10" t="s">
        <v>31</v>
      </c>
      <c r="E740" s="65" t="s">
        <v>569</v>
      </c>
      <c r="F740" s="10"/>
      <c r="G740" s="11">
        <v>4800</v>
      </c>
      <c r="H740" s="11">
        <v>4800</v>
      </c>
      <c r="I740" s="7">
        <f t="shared" ref="I740:M740" si="292">I741</f>
        <v>0</v>
      </c>
      <c r="J740" s="7">
        <f t="shared" si="292"/>
        <v>4800</v>
      </c>
      <c r="K740" s="7">
        <f t="shared" si="292"/>
        <v>0</v>
      </c>
      <c r="L740" s="7">
        <f t="shared" si="292"/>
        <v>4800</v>
      </c>
      <c r="M740" s="7">
        <f t="shared" si="292"/>
        <v>0</v>
      </c>
      <c r="N740" s="7">
        <v>4800</v>
      </c>
      <c r="O740" s="7">
        <v>4800</v>
      </c>
      <c r="P740" s="349">
        <v>4800</v>
      </c>
      <c r="Q740" s="257">
        <v>100</v>
      </c>
    </row>
    <row r="741" spans="1:17" s="12" customFormat="1" ht="47.25">
      <c r="A741" s="8" t="s">
        <v>534</v>
      </c>
      <c r="B741" s="10" t="s">
        <v>505</v>
      </c>
      <c r="C741" s="10" t="s">
        <v>11</v>
      </c>
      <c r="D741" s="10" t="s">
        <v>31</v>
      </c>
      <c r="E741" s="65" t="s">
        <v>569</v>
      </c>
      <c r="F741" s="10" t="s">
        <v>375</v>
      </c>
      <c r="G741" s="11">
        <v>4800</v>
      </c>
      <c r="H741" s="31">
        <v>4800</v>
      </c>
      <c r="I741" s="7"/>
      <c r="J741" s="7">
        <f>H741+I741</f>
        <v>4800</v>
      </c>
      <c r="K741" s="7"/>
      <c r="L741" s="7">
        <f>J741+K741</f>
        <v>4800</v>
      </c>
      <c r="M741" s="7"/>
      <c r="N741" s="7">
        <v>4800</v>
      </c>
      <c r="O741" s="7">
        <v>4800</v>
      </c>
      <c r="P741" s="349">
        <v>4800</v>
      </c>
      <c r="Q741" s="257">
        <v>100</v>
      </c>
    </row>
    <row r="742" spans="1:17" s="12" customFormat="1" ht="63">
      <c r="A742" s="266" t="s">
        <v>908</v>
      </c>
      <c r="B742" s="10" t="s">
        <v>505</v>
      </c>
      <c r="C742" s="10" t="s">
        <v>11</v>
      </c>
      <c r="D742" s="10" t="s">
        <v>31</v>
      </c>
      <c r="E742" s="65" t="s">
        <v>864</v>
      </c>
      <c r="F742" s="10"/>
      <c r="G742" s="11"/>
      <c r="H742" s="31">
        <f t="shared" ref="H742:M742" si="293">H743</f>
        <v>0</v>
      </c>
      <c r="I742" s="31">
        <f t="shared" si="293"/>
        <v>866.8</v>
      </c>
      <c r="J742" s="31">
        <f t="shared" si="293"/>
        <v>866.8</v>
      </c>
      <c r="K742" s="31">
        <f t="shared" si="293"/>
        <v>0</v>
      </c>
      <c r="L742" s="31">
        <f t="shared" si="293"/>
        <v>866.8</v>
      </c>
      <c r="M742" s="31">
        <f t="shared" si="293"/>
        <v>0</v>
      </c>
      <c r="N742" s="31">
        <v>866.8</v>
      </c>
      <c r="O742" s="36">
        <v>780.1</v>
      </c>
      <c r="P742" s="350">
        <v>709.4</v>
      </c>
      <c r="Q742" s="257">
        <v>90.94</v>
      </c>
    </row>
    <row r="743" spans="1:17" s="12" customFormat="1" ht="47.25">
      <c r="A743" s="8" t="s">
        <v>534</v>
      </c>
      <c r="B743" s="10" t="s">
        <v>505</v>
      </c>
      <c r="C743" s="10" t="s">
        <v>11</v>
      </c>
      <c r="D743" s="10" t="s">
        <v>31</v>
      </c>
      <c r="E743" s="65" t="s">
        <v>864</v>
      </c>
      <c r="F743" s="10" t="s">
        <v>375</v>
      </c>
      <c r="G743" s="11"/>
      <c r="H743" s="31"/>
      <c r="I743" s="7">
        <v>866.8</v>
      </c>
      <c r="J743" s="7">
        <f>H743+I743</f>
        <v>866.8</v>
      </c>
      <c r="K743" s="7"/>
      <c r="L743" s="7">
        <f>J743+K743</f>
        <v>866.8</v>
      </c>
      <c r="M743" s="7"/>
      <c r="N743" s="7">
        <v>866.8</v>
      </c>
      <c r="O743" s="7">
        <v>780.1</v>
      </c>
      <c r="P743" s="349">
        <v>709.4</v>
      </c>
      <c r="Q743" s="257">
        <v>90.94</v>
      </c>
    </row>
    <row r="744" spans="1:17" s="12" customFormat="1" ht="47.25">
      <c r="A744" s="8" t="s">
        <v>122</v>
      </c>
      <c r="B744" s="10" t="s">
        <v>505</v>
      </c>
      <c r="C744" s="10" t="s">
        <v>11</v>
      </c>
      <c r="D744" s="10" t="s">
        <v>31</v>
      </c>
      <c r="E744" s="65" t="s">
        <v>123</v>
      </c>
      <c r="F744" s="10"/>
      <c r="G744" s="11">
        <v>0.1</v>
      </c>
      <c r="H744" s="11">
        <v>5400.1</v>
      </c>
      <c r="I744" s="7">
        <f t="shared" ref="I744:M744" si="294">I745+I746</f>
        <v>0</v>
      </c>
      <c r="J744" s="7">
        <f t="shared" si="294"/>
        <v>5400.1</v>
      </c>
      <c r="K744" s="7">
        <f t="shared" si="294"/>
        <v>600</v>
      </c>
      <c r="L744" s="7">
        <f t="shared" si="294"/>
        <v>6000.1</v>
      </c>
      <c r="M744" s="7">
        <f t="shared" si="294"/>
        <v>0</v>
      </c>
      <c r="N744" s="7">
        <v>6000.1</v>
      </c>
      <c r="O744" s="7">
        <v>6000.1</v>
      </c>
      <c r="P744" s="349">
        <v>5976.8</v>
      </c>
      <c r="Q744" s="257">
        <v>99.61</v>
      </c>
    </row>
    <row r="745" spans="1:17" s="12" customFormat="1">
      <c r="A745" s="8" t="s">
        <v>356</v>
      </c>
      <c r="B745" s="10" t="s">
        <v>505</v>
      </c>
      <c r="C745" s="10" t="s">
        <v>11</v>
      </c>
      <c r="D745" s="10" t="s">
        <v>31</v>
      </c>
      <c r="E745" s="65" t="s">
        <v>123</v>
      </c>
      <c r="F745" s="10" t="s">
        <v>332</v>
      </c>
      <c r="G745" s="11">
        <v>400.1</v>
      </c>
      <c r="H745" s="11">
        <v>400.1</v>
      </c>
      <c r="I745" s="7"/>
      <c r="J745" s="7">
        <f>H745+I745</f>
        <v>400.1</v>
      </c>
      <c r="K745" s="7"/>
      <c r="L745" s="7">
        <f>J745+K745</f>
        <v>400.1</v>
      </c>
      <c r="M745" s="7"/>
      <c r="N745" s="7">
        <v>400.1</v>
      </c>
      <c r="O745" s="7">
        <v>400.1</v>
      </c>
      <c r="P745" s="349">
        <v>378.2</v>
      </c>
      <c r="Q745" s="257">
        <v>94.53</v>
      </c>
    </row>
    <row r="746" spans="1:17" s="12" customFormat="1">
      <c r="A746" s="8" t="s">
        <v>362</v>
      </c>
      <c r="B746" s="10" t="s">
        <v>505</v>
      </c>
      <c r="C746" s="10" t="s">
        <v>11</v>
      </c>
      <c r="D746" s="10" t="s">
        <v>31</v>
      </c>
      <c r="E746" s="65" t="s">
        <v>123</v>
      </c>
      <c r="F746" s="10" t="s">
        <v>334</v>
      </c>
      <c r="G746" s="11">
        <v>-400</v>
      </c>
      <c r="H746" s="31">
        <v>5000</v>
      </c>
      <c r="I746" s="7"/>
      <c r="J746" s="7">
        <f>H746+I746</f>
        <v>5000</v>
      </c>
      <c r="K746" s="7">
        <f>400+200</f>
        <v>600</v>
      </c>
      <c r="L746" s="7">
        <f>J746+K746</f>
        <v>5600</v>
      </c>
      <c r="M746" s="7"/>
      <c r="N746" s="7">
        <v>5600</v>
      </c>
      <c r="O746" s="7">
        <v>5600</v>
      </c>
      <c r="P746" s="349">
        <v>5598.6</v>
      </c>
      <c r="Q746" s="257">
        <v>99.98</v>
      </c>
    </row>
    <row r="747" spans="1:17" s="12" customFormat="1" ht="78.75">
      <c r="A747" s="8" t="s">
        <v>909</v>
      </c>
      <c r="B747" s="10" t="s">
        <v>505</v>
      </c>
      <c r="C747" s="10" t="s">
        <v>11</v>
      </c>
      <c r="D747" s="10" t="s">
        <v>31</v>
      </c>
      <c r="E747" s="65" t="s">
        <v>865</v>
      </c>
      <c r="F747" s="10"/>
      <c r="G747" s="11"/>
      <c r="H747" s="31">
        <f t="shared" ref="H747:M747" si="295">H748</f>
        <v>0</v>
      </c>
      <c r="I747" s="31">
        <f t="shared" si="295"/>
        <v>1160.5</v>
      </c>
      <c r="J747" s="31">
        <f t="shared" si="295"/>
        <v>1160.5</v>
      </c>
      <c r="K747" s="31">
        <f t="shared" si="295"/>
        <v>384.7</v>
      </c>
      <c r="L747" s="31">
        <f t="shared" si="295"/>
        <v>1545.2</v>
      </c>
      <c r="M747" s="31">
        <f t="shared" si="295"/>
        <v>-417.7</v>
      </c>
      <c r="N747" s="31">
        <v>1127.5</v>
      </c>
      <c r="O747" s="36">
        <v>1125.5999999999999</v>
      </c>
      <c r="P747" s="350">
        <v>1125.5999999999999</v>
      </c>
      <c r="Q747" s="257">
        <v>100</v>
      </c>
    </row>
    <row r="748" spans="1:17" s="12" customFormat="1" ht="47.25">
      <c r="A748" s="8" t="s">
        <v>534</v>
      </c>
      <c r="B748" s="10" t="s">
        <v>505</v>
      </c>
      <c r="C748" s="10" t="s">
        <v>11</v>
      </c>
      <c r="D748" s="10" t="s">
        <v>31</v>
      </c>
      <c r="E748" s="65" t="s">
        <v>865</v>
      </c>
      <c r="F748" s="10" t="s">
        <v>375</v>
      </c>
      <c r="G748" s="11"/>
      <c r="H748" s="31"/>
      <c r="I748" s="7">
        <v>1160.5</v>
      </c>
      <c r="J748" s="7">
        <f>H748+I748</f>
        <v>1160.5</v>
      </c>
      <c r="K748" s="7">
        <f>176.3+208.4</f>
        <v>384.7</v>
      </c>
      <c r="L748" s="7">
        <f>J748+K748</f>
        <v>1545.2</v>
      </c>
      <c r="M748" s="7">
        <v>-417.7</v>
      </c>
      <c r="N748" s="7">
        <v>1127.5</v>
      </c>
      <c r="O748" s="7">
        <v>1125.5999999999999</v>
      </c>
      <c r="P748" s="349">
        <v>1125.5999999999999</v>
      </c>
      <c r="Q748" s="257">
        <v>100</v>
      </c>
    </row>
    <row r="749" spans="1:17" s="12" customFormat="1" ht="31.5">
      <c r="A749" s="8" t="s">
        <v>124</v>
      </c>
      <c r="B749" s="10" t="s">
        <v>505</v>
      </c>
      <c r="C749" s="10" t="s">
        <v>11</v>
      </c>
      <c r="D749" s="10" t="s">
        <v>31</v>
      </c>
      <c r="E749" s="65" t="s">
        <v>125</v>
      </c>
      <c r="F749" s="10"/>
      <c r="G749" s="11">
        <v>-300</v>
      </c>
      <c r="H749" s="11">
        <v>1500</v>
      </c>
      <c r="I749" s="7">
        <f t="shared" ref="I749:M749" si="296">I750+I751</f>
        <v>0</v>
      </c>
      <c r="J749" s="7">
        <f t="shared" si="296"/>
        <v>1500</v>
      </c>
      <c r="K749" s="7">
        <f t="shared" si="296"/>
        <v>-150</v>
      </c>
      <c r="L749" s="7">
        <f t="shared" si="296"/>
        <v>1350</v>
      </c>
      <c r="M749" s="7">
        <f t="shared" si="296"/>
        <v>0</v>
      </c>
      <c r="N749" s="7">
        <v>1350</v>
      </c>
      <c r="O749" s="7">
        <v>1350</v>
      </c>
      <c r="P749" s="349">
        <v>1350</v>
      </c>
      <c r="Q749" s="257">
        <v>100</v>
      </c>
    </row>
    <row r="750" spans="1:17" s="12" customFormat="1">
      <c r="A750" s="8" t="s">
        <v>356</v>
      </c>
      <c r="B750" s="10" t="s">
        <v>505</v>
      </c>
      <c r="C750" s="10" t="s">
        <v>11</v>
      </c>
      <c r="D750" s="10" t="s">
        <v>31</v>
      </c>
      <c r="E750" s="65" t="s">
        <v>125</v>
      </c>
      <c r="F750" s="10" t="s">
        <v>332</v>
      </c>
      <c r="G750" s="11">
        <v>100</v>
      </c>
      <c r="H750" s="31">
        <v>100</v>
      </c>
      <c r="I750" s="7"/>
      <c r="J750" s="7">
        <f>H750+I750</f>
        <v>100</v>
      </c>
      <c r="K750" s="7">
        <v>-79.2</v>
      </c>
      <c r="L750" s="7">
        <f>J750+K750</f>
        <v>20.8</v>
      </c>
      <c r="M750" s="7"/>
      <c r="N750" s="7">
        <v>20.8</v>
      </c>
      <c r="O750" s="7">
        <v>20.8</v>
      </c>
      <c r="P750" s="349">
        <v>20.8</v>
      </c>
      <c r="Q750" s="257">
        <v>100</v>
      </c>
    </row>
    <row r="751" spans="1:17" s="12" customFormat="1">
      <c r="A751" s="8" t="s">
        <v>362</v>
      </c>
      <c r="B751" s="10" t="s">
        <v>505</v>
      </c>
      <c r="C751" s="10" t="s">
        <v>11</v>
      </c>
      <c r="D751" s="10" t="s">
        <v>31</v>
      </c>
      <c r="E751" s="65" t="s">
        <v>125</v>
      </c>
      <c r="F751" s="10" t="s">
        <v>334</v>
      </c>
      <c r="G751" s="11">
        <v>-400</v>
      </c>
      <c r="H751" s="31">
        <v>1400</v>
      </c>
      <c r="I751" s="7"/>
      <c r="J751" s="7">
        <f>H751+I751</f>
        <v>1400</v>
      </c>
      <c r="K751" s="7">
        <v>-70.8</v>
      </c>
      <c r="L751" s="7">
        <f>J751+K751</f>
        <v>1329.2</v>
      </c>
      <c r="M751" s="7"/>
      <c r="N751" s="7">
        <v>1329.2</v>
      </c>
      <c r="O751" s="7">
        <v>1329.2</v>
      </c>
      <c r="P751" s="349">
        <v>1329.2</v>
      </c>
      <c r="Q751" s="257">
        <v>100</v>
      </c>
    </row>
    <row r="752" spans="1:17" s="12" customFormat="1" ht="31.5">
      <c r="A752" s="8" t="s">
        <v>126</v>
      </c>
      <c r="B752" s="10" t="s">
        <v>505</v>
      </c>
      <c r="C752" s="10" t="s">
        <v>11</v>
      </c>
      <c r="D752" s="10" t="s">
        <v>31</v>
      </c>
      <c r="E752" s="65" t="s">
        <v>127</v>
      </c>
      <c r="F752" s="10"/>
      <c r="G752" s="11">
        <v>0</v>
      </c>
      <c r="H752" s="11">
        <v>3000</v>
      </c>
      <c r="I752" s="7" t="e">
        <f>#REF!+I753</f>
        <v>#REF!</v>
      </c>
      <c r="J752" s="7" t="e">
        <f>#REF!+J753</f>
        <v>#REF!</v>
      </c>
      <c r="K752" s="7" t="e">
        <f>#REF!+K753</f>
        <v>#REF!</v>
      </c>
      <c r="L752" s="7" t="e">
        <f>#REF!+L753</f>
        <v>#REF!</v>
      </c>
      <c r="M752" s="7" t="e">
        <f>#REF!+M753</f>
        <v>#REF!</v>
      </c>
      <c r="N752" s="7">
        <v>3650</v>
      </c>
      <c r="O752" s="7">
        <v>3650</v>
      </c>
      <c r="P752" s="349">
        <v>3649</v>
      </c>
      <c r="Q752" s="257">
        <v>99.97</v>
      </c>
    </row>
    <row r="753" spans="1:17" s="12" customFormat="1">
      <c r="A753" s="8" t="s">
        <v>362</v>
      </c>
      <c r="B753" s="10" t="s">
        <v>505</v>
      </c>
      <c r="C753" s="10" t="s">
        <v>11</v>
      </c>
      <c r="D753" s="10" t="s">
        <v>31</v>
      </c>
      <c r="E753" s="65" t="s">
        <v>127</v>
      </c>
      <c r="F753" s="10" t="s">
        <v>334</v>
      </c>
      <c r="G753" s="11">
        <v>-70</v>
      </c>
      <c r="H753" s="31">
        <v>2930</v>
      </c>
      <c r="I753" s="7"/>
      <c r="J753" s="7">
        <f>H753+I753</f>
        <v>2930</v>
      </c>
      <c r="K753" s="7">
        <f>70+150</f>
        <v>220</v>
      </c>
      <c r="L753" s="7">
        <f>J753+K753</f>
        <v>3150</v>
      </c>
      <c r="M753" s="7">
        <v>500</v>
      </c>
      <c r="N753" s="7">
        <v>3650</v>
      </c>
      <c r="O753" s="7">
        <v>3650</v>
      </c>
      <c r="P753" s="349">
        <v>3649</v>
      </c>
      <c r="Q753" s="257">
        <v>99.97</v>
      </c>
    </row>
    <row r="754" spans="1:17" s="12" customFormat="1" ht="31.5">
      <c r="A754" s="8" t="s">
        <v>128</v>
      </c>
      <c r="B754" s="10" t="s">
        <v>505</v>
      </c>
      <c r="C754" s="10" t="s">
        <v>11</v>
      </c>
      <c r="D754" s="10" t="s">
        <v>31</v>
      </c>
      <c r="E754" s="65" t="s">
        <v>129</v>
      </c>
      <c r="F754" s="10"/>
      <c r="G754" s="11">
        <v>0</v>
      </c>
      <c r="H754" s="11">
        <v>200</v>
      </c>
      <c r="I754" s="7">
        <f t="shared" ref="I754:M754" si="297">I755</f>
        <v>0</v>
      </c>
      <c r="J754" s="7">
        <f t="shared" si="297"/>
        <v>200</v>
      </c>
      <c r="K754" s="7">
        <f t="shared" si="297"/>
        <v>0</v>
      </c>
      <c r="L754" s="7">
        <f t="shared" si="297"/>
        <v>200</v>
      </c>
      <c r="M754" s="7">
        <f t="shared" si="297"/>
        <v>0</v>
      </c>
      <c r="N754" s="7">
        <v>200</v>
      </c>
      <c r="O754" s="7">
        <v>200</v>
      </c>
      <c r="P754" s="349">
        <v>199.9</v>
      </c>
      <c r="Q754" s="257">
        <v>99.95</v>
      </c>
    </row>
    <row r="755" spans="1:17" s="12" customFormat="1">
      <c r="A755" s="8" t="s">
        <v>362</v>
      </c>
      <c r="B755" s="10" t="s">
        <v>505</v>
      </c>
      <c r="C755" s="10" t="s">
        <v>11</v>
      </c>
      <c r="D755" s="10" t="s">
        <v>31</v>
      </c>
      <c r="E755" s="65" t="s">
        <v>129</v>
      </c>
      <c r="F755" s="10" t="s">
        <v>334</v>
      </c>
      <c r="G755" s="11">
        <v>0</v>
      </c>
      <c r="H755" s="31">
        <v>200</v>
      </c>
      <c r="I755" s="7"/>
      <c r="J755" s="7">
        <f>H755+I755</f>
        <v>200</v>
      </c>
      <c r="K755" s="7"/>
      <c r="L755" s="7">
        <f>J755+K755</f>
        <v>200</v>
      </c>
      <c r="M755" s="7"/>
      <c r="N755" s="7">
        <v>200</v>
      </c>
      <c r="O755" s="7">
        <v>200</v>
      </c>
      <c r="P755" s="349">
        <v>199.9</v>
      </c>
      <c r="Q755" s="257">
        <v>99.95</v>
      </c>
    </row>
    <row r="756" spans="1:17" s="12" customFormat="1" ht="31.5">
      <c r="A756" s="8" t="s">
        <v>130</v>
      </c>
      <c r="B756" s="10" t="s">
        <v>505</v>
      </c>
      <c r="C756" s="10" t="s">
        <v>11</v>
      </c>
      <c r="D756" s="10" t="s">
        <v>31</v>
      </c>
      <c r="E756" s="65" t="s">
        <v>131</v>
      </c>
      <c r="F756" s="10"/>
      <c r="G756" s="11">
        <v>0</v>
      </c>
      <c r="H756" s="11">
        <v>800</v>
      </c>
      <c r="I756" s="7">
        <f t="shared" ref="I756:M756" si="298">I757</f>
        <v>0</v>
      </c>
      <c r="J756" s="7">
        <f t="shared" si="298"/>
        <v>800</v>
      </c>
      <c r="K756" s="7">
        <f t="shared" si="298"/>
        <v>0</v>
      </c>
      <c r="L756" s="7">
        <f t="shared" si="298"/>
        <v>800</v>
      </c>
      <c r="M756" s="7">
        <f t="shared" si="298"/>
        <v>0</v>
      </c>
      <c r="N756" s="7">
        <v>800</v>
      </c>
      <c r="O756" s="7">
        <v>800</v>
      </c>
      <c r="P756" s="349">
        <v>800</v>
      </c>
      <c r="Q756" s="257">
        <v>100</v>
      </c>
    </row>
    <row r="757" spans="1:17" s="12" customFormat="1" ht="31.5">
      <c r="A757" s="8" t="s">
        <v>339</v>
      </c>
      <c r="B757" s="10" t="s">
        <v>505</v>
      </c>
      <c r="C757" s="10" t="s">
        <v>11</v>
      </c>
      <c r="D757" s="10" t="s">
        <v>31</v>
      </c>
      <c r="E757" s="65" t="s">
        <v>131</v>
      </c>
      <c r="F757" s="10" t="s">
        <v>334</v>
      </c>
      <c r="G757" s="11">
        <v>0</v>
      </c>
      <c r="H757" s="31">
        <v>800</v>
      </c>
      <c r="I757" s="7"/>
      <c r="J757" s="7">
        <f>H757+I757</f>
        <v>800</v>
      </c>
      <c r="K757" s="7"/>
      <c r="L757" s="7">
        <f>J757+K757</f>
        <v>800</v>
      </c>
      <c r="M757" s="7"/>
      <c r="N757" s="7">
        <v>800</v>
      </c>
      <c r="O757" s="7">
        <v>800</v>
      </c>
      <c r="P757" s="349">
        <v>800</v>
      </c>
      <c r="Q757" s="257">
        <v>100</v>
      </c>
    </row>
    <row r="758" spans="1:17" s="12" customFormat="1">
      <c r="A758" s="8" t="s">
        <v>132</v>
      </c>
      <c r="B758" s="10" t="s">
        <v>505</v>
      </c>
      <c r="C758" s="10" t="s">
        <v>11</v>
      </c>
      <c r="D758" s="10" t="s">
        <v>31</v>
      </c>
      <c r="E758" s="65" t="s">
        <v>133</v>
      </c>
      <c r="F758" s="10"/>
      <c r="G758" s="11">
        <v>4000</v>
      </c>
      <c r="H758" s="11">
        <v>16000</v>
      </c>
      <c r="I758" s="7">
        <f t="shared" ref="I758:M758" si="299">I759</f>
        <v>4500</v>
      </c>
      <c r="J758" s="7">
        <f t="shared" si="299"/>
        <v>20500</v>
      </c>
      <c r="K758" s="7">
        <f t="shared" si="299"/>
        <v>0</v>
      </c>
      <c r="L758" s="7">
        <f t="shared" si="299"/>
        <v>20500</v>
      </c>
      <c r="M758" s="7">
        <f t="shared" si="299"/>
        <v>5634.3</v>
      </c>
      <c r="N758" s="7">
        <v>26134.3</v>
      </c>
      <c r="O758" s="7">
        <v>26134.3</v>
      </c>
      <c r="P758" s="349">
        <v>26134.3</v>
      </c>
      <c r="Q758" s="257">
        <v>100</v>
      </c>
    </row>
    <row r="759" spans="1:17" s="12" customFormat="1" ht="47.25">
      <c r="A759" s="8" t="s">
        <v>534</v>
      </c>
      <c r="B759" s="10" t="s">
        <v>505</v>
      </c>
      <c r="C759" s="10" t="s">
        <v>11</v>
      </c>
      <c r="D759" s="10" t="s">
        <v>31</v>
      </c>
      <c r="E759" s="65" t="s">
        <v>133</v>
      </c>
      <c r="F759" s="10" t="s">
        <v>375</v>
      </c>
      <c r="G759" s="11">
        <v>4000</v>
      </c>
      <c r="H759" s="31">
        <v>16000</v>
      </c>
      <c r="I759" s="7">
        <f>2500+2000</f>
        <v>4500</v>
      </c>
      <c r="J759" s="7">
        <f>H759+I759</f>
        <v>20500</v>
      </c>
      <c r="K759" s="7"/>
      <c r="L759" s="7">
        <f>J759+K759</f>
        <v>20500</v>
      </c>
      <c r="M759" s="7">
        <f>5705-70.6-0.1</f>
        <v>5634.3</v>
      </c>
      <c r="N759" s="7">
        <v>26134.3</v>
      </c>
      <c r="O759" s="7">
        <v>26134.3</v>
      </c>
      <c r="P759" s="349">
        <v>26134.3</v>
      </c>
      <c r="Q759" s="257">
        <v>100</v>
      </c>
    </row>
    <row r="760" spans="1:17" s="12" customFormat="1">
      <c r="A760" s="8" t="s">
        <v>1002</v>
      </c>
      <c r="B760" s="10" t="s">
        <v>505</v>
      </c>
      <c r="C760" s="10" t="s">
        <v>11</v>
      </c>
      <c r="D760" s="10" t="s">
        <v>31</v>
      </c>
      <c r="E760" s="65" t="s">
        <v>133</v>
      </c>
      <c r="F760" s="10" t="s">
        <v>375</v>
      </c>
      <c r="G760" s="11"/>
      <c r="H760" s="31"/>
      <c r="I760" s="7"/>
      <c r="J760" s="7">
        <v>6366</v>
      </c>
      <c r="K760" s="7"/>
      <c r="L760" s="7">
        <v>6366</v>
      </c>
      <c r="M760" s="7"/>
      <c r="N760" s="7">
        <v>6366</v>
      </c>
      <c r="O760" s="7">
        <v>6366</v>
      </c>
      <c r="P760" s="349">
        <v>6366</v>
      </c>
      <c r="Q760" s="257">
        <v>100</v>
      </c>
    </row>
    <row r="761" spans="1:17" s="12" customFormat="1">
      <c r="A761" s="8" t="s">
        <v>12</v>
      </c>
      <c r="B761" s="10" t="s">
        <v>505</v>
      </c>
      <c r="C761" s="10" t="s">
        <v>11</v>
      </c>
      <c r="D761" s="10" t="s">
        <v>31</v>
      </c>
      <c r="E761" s="65" t="s">
        <v>136</v>
      </c>
      <c r="F761" s="10"/>
      <c r="G761" s="11">
        <v>-144.1</v>
      </c>
      <c r="H761" s="11">
        <v>13271.3</v>
      </c>
      <c r="I761" s="7">
        <f t="shared" ref="I761:M761" si="300">I762</f>
        <v>0</v>
      </c>
      <c r="J761" s="7">
        <f t="shared" si="300"/>
        <v>13271.3</v>
      </c>
      <c r="K761" s="7">
        <f t="shared" si="300"/>
        <v>0</v>
      </c>
      <c r="L761" s="7">
        <f t="shared" si="300"/>
        <v>13271.3</v>
      </c>
      <c r="M761" s="7">
        <f t="shared" si="300"/>
        <v>0</v>
      </c>
      <c r="N761" s="7">
        <v>13271.3</v>
      </c>
      <c r="O761" s="7">
        <v>13271.3</v>
      </c>
      <c r="P761" s="349">
        <v>13271.3</v>
      </c>
      <c r="Q761" s="257">
        <v>100</v>
      </c>
    </row>
    <row r="762" spans="1:17" s="12" customFormat="1" ht="47.25">
      <c r="A762" s="8" t="s">
        <v>360</v>
      </c>
      <c r="B762" s="10" t="s">
        <v>505</v>
      </c>
      <c r="C762" s="10" t="s">
        <v>11</v>
      </c>
      <c r="D762" s="10" t="s">
        <v>31</v>
      </c>
      <c r="E762" s="65" t="s">
        <v>136</v>
      </c>
      <c r="F762" s="10" t="s">
        <v>359</v>
      </c>
      <c r="G762" s="11">
        <v>-144.1</v>
      </c>
      <c r="H762" s="31">
        <v>13271.3</v>
      </c>
      <c r="I762" s="7"/>
      <c r="J762" s="7">
        <f>H762+I762</f>
        <v>13271.3</v>
      </c>
      <c r="K762" s="7"/>
      <c r="L762" s="7">
        <f>J762+K762</f>
        <v>13271.3</v>
      </c>
      <c r="M762" s="7"/>
      <c r="N762" s="7">
        <v>13271.3</v>
      </c>
      <c r="O762" s="7">
        <v>13271.3</v>
      </c>
      <c r="P762" s="349">
        <v>13271.3</v>
      </c>
      <c r="Q762" s="257">
        <v>100</v>
      </c>
    </row>
    <row r="763" spans="1:17" s="12" customFormat="1" ht="78.75">
      <c r="A763" s="8" t="s">
        <v>528</v>
      </c>
      <c r="B763" s="10" t="s">
        <v>505</v>
      </c>
      <c r="C763" s="10" t="s">
        <v>11</v>
      </c>
      <c r="D763" s="10" t="s">
        <v>31</v>
      </c>
      <c r="E763" s="65" t="s">
        <v>328</v>
      </c>
      <c r="F763" s="10"/>
      <c r="G763" s="11">
        <v>200</v>
      </c>
      <c r="H763" s="31">
        <v>200</v>
      </c>
      <c r="I763" s="7">
        <f t="shared" ref="I763:M763" si="301">I764</f>
        <v>0</v>
      </c>
      <c r="J763" s="7">
        <f t="shared" si="301"/>
        <v>200</v>
      </c>
      <c r="K763" s="7">
        <f t="shared" si="301"/>
        <v>0</v>
      </c>
      <c r="L763" s="7">
        <f t="shared" si="301"/>
        <v>200</v>
      </c>
      <c r="M763" s="7">
        <f t="shared" si="301"/>
        <v>0</v>
      </c>
      <c r="N763" s="7">
        <v>200</v>
      </c>
      <c r="O763" s="7">
        <v>200</v>
      </c>
      <c r="P763" s="349">
        <v>190</v>
      </c>
      <c r="Q763" s="257">
        <v>95</v>
      </c>
    </row>
    <row r="764" spans="1:17" s="12" customFormat="1">
      <c r="A764" s="8" t="s">
        <v>362</v>
      </c>
      <c r="B764" s="10" t="s">
        <v>505</v>
      </c>
      <c r="C764" s="10" t="s">
        <v>11</v>
      </c>
      <c r="D764" s="10" t="s">
        <v>31</v>
      </c>
      <c r="E764" s="65" t="s">
        <v>328</v>
      </c>
      <c r="F764" s="10" t="s">
        <v>334</v>
      </c>
      <c r="G764" s="11">
        <v>200</v>
      </c>
      <c r="H764" s="31">
        <v>200</v>
      </c>
      <c r="I764" s="7"/>
      <c r="J764" s="7">
        <f>H764+I764</f>
        <v>200</v>
      </c>
      <c r="K764" s="7"/>
      <c r="L764" s="7">
        <f>J764+K764</f>
        <v>200</v>
      </c>
      <c r="M764" s="7"/>
      <c r="N764" s="7">
        <v>200</v>
      </c>
      <c r="O764" s="7">
        <v>200</v>
      </c>
      <c r="P764" s="349">
        <v>190</v>
      </c>
      <c r="Q764" s="257">
        <v>95</v>
      </c>
    </row>
    <row r="765" spans="1:17" s="30" customFormat="1">
      <c r="A765" s="26" t="s">
        <v>49</v>
      </c>
      <c r="B765" s="27" t="s">
        <v>505</v>
      </c>
      <c r="C765" s="27"/>
      <c r="D765" s="27"/>
      <c r="E765" s="66"/>
      <c r="F765" s="27"/>
      <c r="G765" s="28">
        <v>43500</v>
      </c>
      <c r="H765" s="28">
        <v>43500</v>
      </c>
      <c r="I765" s="29" t="e">
        <f t="shared" ref="I765:M765" si="302">I766+I775+I792</f>
        <v>#REF!</v>
      </c>
      <c r="J765" s="29" t="e">
        <f t="shared" si="302"/>
        <v>#REF!</v>
      </c>
      <c r="K765" s="29" t="e">
        <f t="shared" si="302"/>
        <v>#REF!</v>
      </c>
      <c r="L765" s="29" t="e">
        <f t="shared" si="302"/>
        <v>#REF!</v>
      </c>
      <c r="M765" s="29" t="e">
        <f t="shared" si="302"/>
        <v>#REF!</v>
      </c>
      <c r="N765" s="29">
        <v>151657.4</v>
      </c>
      <c r="O765" s="29">
        <v>151657.4</v>
      </c>
      <c r="P765" s="348">
        <v>151657.29999999999</v>
      </c>
      <c r="Q765" s="256">
        <v>100</v>
      </c>
    </row>
    <row r="766" spans="1:17" s="30" customFormat="1" ht="31.5">
      <c r="A766" s="26" t="s">
        <v>692</v>
      </c>
      <c r="B766" s="27" t="s">
        <v>505</v>
      </c>
      <c r="C766" s="27" t="s">
        <v>31</v>
      </c>
      <c r="D766" s="27"/>
      <c r="E766" s="66"/>
      <c r="F766" s="27"/>
      <c r="G766" s="28">
        <v>28500</v>
      </c>
      <c r="H766" s="28">
        <v>28500</v>
      </c>
      <c r="I766" s="29">
        <f t="shared" ref="I766:M773" si="303">I767</f>
        <v>1400</v>
      </c>
      <c r="J766" s="29">
        <f t="shared" si="303"/>
        <v>29900</v>
      </c>
      <c r="K766" s="29">
        <f t="shared" si="303"/>
        <v>30700</v>
      </c>
      <c r="L766" s="29">
        <f t="shared" si="303"/>
        <v>60600</v>
      </c>
      <c r="M766" s="29">
        <f t="shared" si="303"/>
        <v>0</v>
      </c>
      <c r="N766" s="29">
        <v>60600</v>
      </c>
      <c r="O766" s="29">
        <v>60600</v>
      </c>
      <c r="P766" s="348">
        <v>60600</v>
      </c>
      <c r="Q766" s="256">
        <v>100</v>
      </c>
    </row>
    <row r="767" spans="1:17" s="30" customFormat="1" ht="31.5">
      <c r="A767" s="26" t="s">
        <v>693</v>
      </c>
      <c r="B767" s="27" t="s">
        <v>505</v>
      </c>
      <c r="C767" s="27" t="s">
        <v>31</v>
      </c>
      <c r="D767" s="27" t="s">
        <v>26</v>
      </c>
      <c r="E767" s="66"/>
      <c r="F767" s="27"/>
      <c r="G767" s="28">
        <v>28500</v>
      </c>
      <c r="H767" s="28">
        <v>28500</v>
      </c>
      <c r="I767" s="29">
        <f>I771</f>
        <v>1400</v>
      </c>
      <c r="J767" s="29">
        <f t="shared" ref="J767:M767" si="304">J771+J768</f>
        <v>29900</v>
      </c>
      <c r="K767" s="29">
        <f t="shared" si="304"/>
        <v>30700</v>
      </c>
      <c r="L767" s="29">
        <f t="shared" si="304"/>
        <v>60600</v>
      </c>
      <c r="M767" s="29">
        <f t="shared" si="304"/>
        <v>0</v>
      </c>
      <c r="N767" s="29">
        <v>60600</v>
      </c>
      <c r="O767" s="29">
        <v>60600</v>
      </c>
      <c r="P767" s="348">
        <v>60600</v>
      </c>
      <c r="Q767" s="256">
        <v>100</v>
      </c>
    </row>
    <row r="768" spans="1:17" s="30" customFormat="1">
      <c r="A768" s="6" t="s">
        <v>847</v>
      </c>
      <c r="B768" s="10" t="s">
        <v>505</v>
      </c>
      <c r="C768" s="10" t="s">
        <v>31</v>
      </c>
      <c r="D768" s="10" t="s">
        <v>26</v>
      </c>
      <c r="E768" s="65" t="s">
        <v>846</v>
      </c>
      <c r="F768" s="10"/>
      <c r="G768" s="11"/>
      <c r="H768" s="11"/>
      <c r="I768" s="7"/>
      <c r="J768" s="7">
        <f t="shared" ref="J768:M769" si="305">J769</f>
        <v>0</v>
      </c>
      <c r="K768" s="7">
        <f t="shared" si="305"/>
        <v>27700</v>
      </c>
      <c r="L768" s="7">
        <f t="shared" si="305"/>
        <v>27700</v>
      </c>
      <c r="M768" s="7">
        <f t="shared" si="305"/>
        <v>0</v>
      </c>
      <c r="N768" s="7">
        <v>27700</v>
      </c>
      <c r="O768" s="7">
        <v>27700</v>
      </c>
      <c r="P768" s="349">
        <v>27700</v>
      </c>
      <c r="Q768" s="257">
        <v>100</v>
      </c>
    </row>
    <row r="769" spans="1:17" s="47" customFormat="1" ht="31.5">
      <c r="A769" s="33" t="s">
        <v>951</v>
      </c>
      <c r="B769" s="10" t="s">
        <v>505</v>
      </c>
      <c r="C769" s="10" t="s">
        <v>31</v>
      </c>
      <c r="D769" s="10" t="s">
        <v>26</v>
      </c>
      <c r="E769" s="65" t="s">
        <v>950</v>
      </c>
      <c r="F769" s="44"/>
      <c r="G769" s="45"/>
      <c r="H769" s="45"/>
      <c r="I769" s="46"/>
      <c r="J769" s="52">
        <f t="shared" si="305"/>
        <v>0</v>
      </c>
      <c r="K769" s="52">
        <f t="shared" si="305"/>
        <v>27700</v>
      </c>
      <c r="L769" s="52">
        <f t="shared" si="305"/>
        <v>27700</v>
      </c>
      <c r="M769" s="52">
        <f t="shared" si="305"/>
        <v>0</v>
      </c>
      <c r="N769" s="52">
        <v>27700</v>
      </c>
      <c r="O769" s="52">
        <v>27700</v>
      </c>
      <c r="P769" s="349">
        <v>27700</v>
      </c>
      <c r="Q769" s="257">
        <v>100</v>
      </c>
    </row>
    <row r="770" spans="1:17" s="30" customFormat="1" ht="31.5">
      <c r="A770" s="8" t="s">
        <v>465</v>
      </c>
      <c r="B770" s="10" t="s">
        <v>505</v>
      </c>
      <c r="C770" s="10" t="s">
        <v>31</v>
      </c>
      <c r="D770" s="10" t="s">
        <v>26</v>
      </c>
      <c r="E770" s="65" t="s">
        <v>950</v>
      </c>
      <c r="F770" s="10" t="s">
        <v>475</v>
      </c>
      <c r="G770" s="11"/>
      <c r="H770" s="11"/>
      <c r="I770" s="7"/>
      <c r="J770" s="7"/>
      <c r="K770" s="7">
        <v>27700</v>
      </c>
      <c r="L770" s="7">
        <f>J770+K770</f>
        <v>27700</v>
      </c>
      <c r="M770" s="7"/>
      <c r="N770" s="7">
        <v>27700</v>
      </c>
      <c r="O770" s="7">
        <v>27700</v>
      </c>
      <c r="P770" s="349">
        <v>27700</v>
      </c>
      <c r="Q770" s="257">
        <v>100</v>
      </c>
    </row>
    <row r="771" spans="1:17" s="12" customFormat="1">
      <c r="A771" s="8" t="s">
        <v>17</v>
      </c>
      <c r="B771" s="10" t="s">
        <v>505</v>
      </c>
      <c r="C771" s="10" t="s">
        <v>31</v>
      </c>
      <c r="D771" s="10" t="s">
        <v>26</v>
      </c>
      <c r="E771" s="65" t="s">
        <v>18</v>
      </c>
      <c r="F771" s="10"/>
      <c r="G771" s="11">
        <v>28500</v>
      </c>
      <c r="H771" s="11">
        <v>28500</v>
      </c>
      <c r="I771" s="7">
        <f t="shared" si="303"/>
        <v>1400</v>
      </c>
      <c r="J771" s="7">
        <f t="shared" si="303"/>
        <v>29900</v>
      </c>
      <c r="K771" s="7">
        <f t="shared" si="303"/>
        <v>3000</v>
      </c>
      <c r="L771" s="7">
        <f t="shared" si="303"/>
        <v>32900</v>
      </c>
      <c r="M771" s="7">
        <f t="shared" si="303"/>
        <v>0</v>
      </c>
      <c r="N771" s="7">
        <v>32900</v>
      </c>
      <c r="O771" s="7">
        <v>32900</v>
      </c>
      <c r="P771" s="349">
        <v>32900</v>
      </c>
      <c r="Q771" s="257">
        <v>100</v>
      </c>
    </row>
    <row r="772" spans="1:17" s="12" customFormat="1" ht="31.5">
      <c r="A772" s="8" t="s">
        <v>103</v>
      </c>
      <c r="B772" s="10" t="s">
        <v>505</v>
      </c>
      <c r="C772" s="10" t="s">
        <v>31</v>
      </c>
      <c r="D772" s="10" t="s">
        <v>26</v>
      </c>
      <c r="E772" s="65" t="s">
        <v>104</v>
      </c>
      <c r="F772" s="10"/>
      <c r="G772" s="11">
        <v>28500</v>
      </c>
      <c r="H772" s="11">
        <v>28500</v>
      </c>
      <c r="I772" s="7">
        <f t="shared" si="303"/>
        <v>1400</v>
      </c>
      <c r="J772" s="7">
        <f t="shared" si="303"/>
        <v>29900</v>
      </c>
      <c r="K772" s="7">
        <f t="shared" si="303"/>
        <v>3000</v>
      </c>
      <c r="L772" s="7">
        <f t="shared" si="303"/>
        <v>32900</v>
      </c>
      <c r="M772" s="7">
        <f t="shared" si="303"/>
        <v>0</v>
      </c>
      <c r="N772" s="7">
        <v>32900</v>
      </c>
      <c r="O772" s="7">
        <v>32900</v>
      </c>
      <c r="P772" s="349">
        <v>32900</v>
      </c>
      <c r="Q772" s="257">
        <v>100</v>
      </c>
    </row>
    <row r="773" spans="1:17" s="12" customFormat="1" ht="31.5">
      <c r="A773" s="8" t="s">
        <v>694</v>
      </c>
      <c r="B773" s="10" t="s">
        <v>505</v>
      </c>
      <c r="C773" s="10" t="s">
        <v>31</v>
      </c>
      <c r="D773" s="10" t="s">
        <v>26</v>
      </c>
      <c r="E773" s="65" t="s">
        <v>139</v>
      </c>
      <c r="F773" s="10"/>
      <c r="G773" s="11">
        <v>28500</v>
      </c>
      <c r="H773" s="11">
        <v>28500</v>
      </c>
      <c r="I773" s="7">
        <f t="shared" si="303"/>
        <v>1400</v>
      </c>
      <c r="J773" s="7">
        <f t="shared" si="303"/>
        <v>29900</v>
      </c>
      <c r="K773" s="7">
        <f t="shared" si="303"/>
        <v>3000</v>
      </c>
      <c r="L773" s="7">
        <f t="shared" si="303"/>
        <v>32900</v>
      </c>
      <c r="M773" s="7">
        <f t="shared" si="303"/>
        <v>0</v>
      </c>
      <c r="N773" s="7">
        <v>32900</v>
      </c>
      <c r="O773" s="7">
        <v>32900</v>
      </c>
      <c r="P773" s="349">
        <v>32900</v>
      </c>
      <c r="Q773" s="257">
        <v>100</v>
      </c>
    </row>
    <row r="774" spans="1:17" s="12" customFormat="1" ht="31.5">
      <c r="A774" s="8" t="s">
        <v>465</v>
      </c>
      <c r="B774" s="10" t="s">
        <v>505</v>
      </c>
      <c r="C774" s="10" t="s">
        <v>31</v>
      </c>
      <c r="D774" s="10" t="s">
        <v>26</v>
      </c>
      <c r="E774" s="65" t="s">
        <v>139</v>
      </c>
      <c r="F774" s="10" t="s">
        <v>475</v>
      </c>
      <c r="G774" s="11">
        <v>28500</v>
      </c>
      <c r="H774" s="11">
        <v>28500</v>
      </c>
      <c r="I774" s="7">
        <f>900+500</f>
        <v>1400</v>
      </c>
      <c r="J774" s="7">
        <f>H774+I774</f>
        <v>29900</v>
      </c>
      <c r="K774" s="7">
        <v>3000</v>
      </c>
      <c r="L774" s="7">
        <f>J774+K774</f>
        <v>32900</v>
      </c>
      <c r="M774" s="7"/>
      <c r="N774" s="7">
        <v>32900</v>
      </c>
      <c r="O774" s="7">
        <v>32900</v>
      </c>
      <c r="P774" s="349">
        <v>32900</v>
      </c>
      <c r="Q774" s="257">
        <v>100</v>
      </c>
    </row>
    <row r="775" spans="1:17" s="30" customFormat="1" ht="31.5">
      <c r="A775" s="26" t="s">
        <v>695</v>
      </c>
      <c r="B775" s="27" t="s">
        <v>505</v>
      </c>
      <c r="C775" s="27" t="s">
        <v>9</v>
      </c>
      <c r="D775" s="27"/>
      <c r="E775" s="66"/>
      <c r="F775" s="27"/>
      <c r="G775" s="28">
        <v>5000</v>
      </c>
      <c r="H775" s="28">
        <v>5000</v>
      </c>
      <c r="I775" s="29">
        <f>I784</f>
        <v>0</v>
      </c>
      <c r="J775" s="29">
        <f t="shared" ref="J775:M775" si="306">J784+J776</f>
        <v>5000</v>
      </c>
      <c r="K775" s="29">
        <f t="shared" si="306"/>
        <v>50343</v>
      </c>
      <c r="L775" s="29">
        <f t="shared" si="306"/>
        <v>55343</v>
      </c>
      <c r="M775" s="29">
        <f t="shared" si="306"/>
        <v>0</v>
      </c>
      <c r="N775" s="29">
        <v>55343</v>
      </c>
      <c r="O775" s="29">
        <v>55343</v>
      </c>
      <c r="P775" s="348">
        <v>55343</v>
      </c>
      <c r="Q775" s="256">
        <v>100</v>
      </c>
    </row>
    <row r="776" spans="1:17" s="30" customFormat="1">
      <c r="A776" s="67" t="s">
        <v>226</v>
      </c>
      <c r="B776" s="27" t="s">
        <v>505</v>
      </c>
      <c r="C776" s="27" t="s">
        <v>9</v>
      </c>
      <c r="D776" s="27" t="s">
        <v>16</v>
      </c>
      <c r="E776" s="66"/>
      <c r="F776" s="27"/>
      <c r="G776" s="28"/>
      <c r="H776" s="28"/>
      <c r="I776" s="29"/>
      <c r="J776" s="29">
        <f t="shared" ref="J776:M776" si="307">J780+J777</f>
        <v>0</v>
      </c>
      <c r="K776" s="29">
        <f t="shared" si="307"/>
        <v>19643</v>
      </c>
      <c r="L776" s="29">
        <f t="shared" si="307"/>
        <v>19643</v>
      </c>
      <c r="M776" s="29">
        <f t="shared" si="307"/>
        <v>0</v>
      </c>
      <c r="N776" s="29">
        <v>19643</v>
      </c>
      <c r="O776" s="29">
        <v>19643</v>
      </c>
      <c r="P776" s="348">
        <v>19643</v>
      </c>
      <c r="Q776" s="256">
        <v>100</v>
      </c>
    </row>
    <row r="777" spans="1:17" s="30" customFormat="1">
      <c r="A777" s="33" t="s">
        <v>847</v>
      </c>
      <c r="B777" s="10" t="s">
        <v>505</v>
      </c>
      <c r="C777" s="10" t="s">
        <v>9</v>
      </c>
      <c r="D777" s="10" t="s">
        <v>16</v>
      </c>
      <c r="E777" s="65" t="s">
        <v>846</v>
      </c>
      <c r="F777" s="10"/>
      <c r="G777" s="11"/>
      <c r="H777" s="11"/>
      <c r="I777" s="7"/>
      <c r="J777" s="7">
        <f t="shared" ref="J777:M778" si="308">J778</f>
        <v>0</v>
      </c>
      <c r="K777" s="7">
        <f t="shared" si="308"/>
        <v>14143</v>
      </c>
      <c r="L777" s="7">
        <f t="shared" si="308"/>
        <v>14143</v>
      </c>
      <c r="M777" s="7">
        <f t="shared" si="308"/>
        <v>0</v>
      </c>
      <c r="N777" s="7">
        <v>14143</v>
      </c>
      <c r="O777" s="7">
        <v>14143</v>
      </c>
      <c r="P777" s="349">
        <v>14143</v>
      </c>
      <c r="Q777" s="257">
        <v>100</v>
      </c>
    </row>
    <row r="778" spans="1:17" s="47" customFormat="1" ht="31.5">
      <c r="A778" s="33" t="s">
        <v>951</v>
      </c>
      <c r="B778" s="44" t="s">
        <v>505</v>
      </c>
      <c r="C778" s="44" t="s">
        <v>9</v>
      </c>
      <c r="D778" s="44" t="s">
        <v>16</v>
      </c>
      <c r="E778" s="68" t="s">
        <v>950</v>
      </c>
      <c r="F778" s="44"/>
      <c r="G778" s="45"/>
      <c r="H778" s="45"/>
      <c r="I778" s="46"/>
      <c r="J778" s="52">
        <f t="shared" si="308"/>
        <v>0</v>
      </c>
      <c r="K778" s="52">
        <f t="shared" si="308"/>
        <v>14143</v>
      </c>
      <c r="L778" s="52">
        <f t="shared" si="308"/>
        <v>14143</v>
      </c>
      <c r="M778" s="52">
        <f t="shared" si="308"/>
        <v>0</v>
      </c>
      <c r="N778" s="52">
        <v>14143</v>
      </c>
      <c r="O778" s="52">
        <v>14143</v>
      </c>
      <c r="P778" s="349">
        <v>14143</v>
      </c>
      <c r="Q778" s="257">
        <v>100</v>
      </c>
    </row>
    <row r="779" spans="1:17" s="30" customFormat="1" ht="31.5">
      <c r="A779" s="8" t="s">
        <v>465</v>
      </c>
      <c r="B779" s="10" t="s">
        <v>505</v>
      </c>
      <c r="C779" s="10" t="s">
        <v>9</v>
      </c>
      <c r="D779" s="10" t="s">
        <v>16</v>
      </c>
      <c r="E779" s="65" t="s">
        <v>971</v>
      </c>
      <c r="F779" s="10" t="s">
        <v>475</v>
      </c>
      <c r="G779" s="11"/>
      <c r="H779" s="11"/>
      <c r="I779" s="7"/>
      <c r="J779" s="7"/>
      <c r="K779" s="7">
        <v>14143</v>
      </c>
      <c r="L779" s="7">
        <f>J779+K779</f>
        <v>14143</v>
      </c>
      <c r="M779" s="7"/>
      <c r="N779" s="7">
        <v>14143</v>
      </c>
      <c r="O779" s="7">
        <v>14143</v>
      </c>
      <c r="P779" s="349">
        <v>14143</v>
      </c>
      <c r="Q779" s="257">
        <v>100</v>
      </c>
    </row>
    <row r="780" spans="1:17" s="30" customFormat="1">
      <c r="A780" s="8" t="s">
        <v>17</v>
      </c>
      <c r="B780" s="10" t="s">
        <v>505</v>
      </c>
      <c r="C780" s="10" t="s">
        <v>9</v>
      </c>
      <c r="D780" s="10" t="s">
        <v>16</v>
      </c>
      <c r="E780" s="65" t="s">
        <v>18</v>
      </c>
      <c r="F780" s="10"/>
      <c r="G780" s="11"/>
      <c r="H780" s="11"/>
      <c r="I780" s="7"/>
      <c r="J780" s="7">
        <f>J781</f>
        <v>0</v>
      </c>
      <c r="K780" s="7">
        <f t="shared" ref="K780:M782" si="309">K781</f>
        <v>5500</v>
      </c>
      <c r="L780" s="7">
        <f t="shared" si="309"/>
        <v>5500</v>
      </c>
      <c r="M780" s="7">
        <f t="shared" si="309"/>
        <v>0</v>
      </c>
      <c r="N780" s="7">
        <v>5500</v>
      </c>
      <c r="O780" s="7">
        <v>5500</v>
      </c>
      <c r="P780" s="349">
        <v>5500</v>
      </c>
      <c r="Q780" s="257">
        <v>100</v>
      </c>
    </row>
    <row r="781" spans="1:17" s="30" customFormat="1" ht="31.5">
      <c r="A781" s="8" t="s">
        <v>103</v>
      </c>
      <c r="B781" s="10" t="s">
        <v>505</v>
      </c>
      <c r="C781" s="10" t="s">
        <v>9</v>
      </c>
      <c r="D781" s="10" t="s">
        <v>16</v>
      </c>
      <c r="E781" s="65" t="s">
        <v>104</v>
      </c>
      <c r="F781" s="10"/>
      <c r="G781" s="11"/>
      <c r="H781" s="11"/>
      <c r="I781" s="7"/>
      <c r="J781" s="7">
        <f>J782</f>
        <v>0</v>
      </c>
      <c r="K781" s="7">
        <f t="shared" si="309"/>
        <v>5500</v>
      </c>
      <c r="L781" s="7">
        <f t="shared" si="309"/>
        <v>5500</v>
      </c>
      <c r="M781" s="7">
        <f t="shared" si="309"/>
        <v>0</v>
      </c>
      <c r="N781" s="7">
        <v>5500</v>
      </c>
      <c r="O781" s="7">
        <v>5500</v>
      </c>
      <c r="P781" s="349">
        <v>5500</v>
      </c>
      <c r="Q781" s="257">
        <v>100</v>
      </c>
    </row>
    <row r="782" spans="1:17" s="30" customFormat="1" ht="31.5">
      <c r="A782" s="6" t="s">
        <v>968</v>
      </c>
      <c r="B782" s="10" t="s">
        <v>505</v>
      </c>
      <c r="C782" s="10" t="s">
        <v>9</v>
      </c>
      <c r="D782" s="10" t="s">
        <v>16</v>
      </c>
      <c r="E782" s="65" t="s">
        <v>967</v>
      </c>
      <c r="F782" s="10"/>
      <c r="G782" s="11"/>
      <c r="H782" s="11"/>
      <c r="I782" s="7"/>
      <c r="J782" s="7">
        <f>J783</f>
        <v>0</v>
      </c>
      <c r="K782" s="7">
        <f t="shared" si="309"/>
        <v>5500</v>
      </c>
      <c r="L782" s="7">
        <f t="shared" si="309"/>
        <v>5500</v>
      </c>
      <c r="M782" s="7">
        <f t="shared" si="309"/>
        <v>0</v>
      </c>
      <c r="N782" s="7">
        <v>5500</v>
      </c>
      <c r="O782" s="7">
        <v>5500</v>
      </c>
      <c r="P782" s="349">
        <v>5500</v>
      </c>
      <c r="Q782" s="257">
        <v>100</v>
      </c>
    </row>
    <row r="783" spans="1:17" s="30" customFormat="1" ht="31.5">
      <c r="A783" s="8" t="s">
        <v>465</v>
      </c>
      <c r="B783" s="10" t="s">
        <v>505</v>
      </c>
      <c r="C783" s="10" t="s">
        <v>9</v>
      </c>
      <c r="D783" s="10" t="s">
        <v>16</v>
      </c>
      <c r="E783" s="65" t="s">
        <v>967</v>
      </c>
      <c r="F783" s="10" t="s">
        <v>475</v>
      </c>
      <c r="G783" s="11"/>
      <c r="H783" s="11"/>
      <c r="I783" s="7"/>
      <c r="J783" s="7"/>
      <c r="K783" s="7">
        <v>5500</v>
      </c>
      <c r="L783" s="7">
        <f>J783+K783</f>
        <v>5500</v>
      </c>
      <c r="M783" s="7"/>
      <c r="N783" s="7">
        <v>5500</v>
      </c>
      <c r="O783" s="7">
        <v>5500</v>
      </c>
      <c r="P783" s="349">
        <v>5500</v>
      </c>
      <c r="Q783" s="257">
        <v>100</v>
      </c>
    </row>
    <row r="784" spans="1:17" s="30" customFormat="1" ht="31.5">
      <c r="A784" s="26" t="s">
        <v>696</v>
      </c>
      <c r="B784" s="27" t="s">
        <v>505</v>
      </c>
      <c r="C784" s="27" t="s">
        <v>9</v>
      </c>
      <c r="D784" s="27" t="s">
        <v>26</v>
      </c>
      <c r="E784" s="66"/>
      <c r="F784" s="27"/>
      <c r="G784" s="28">
        <v>5000</v>
      </c>
      <c r="H784" s="28">
        <v>5000</v>
      </c>
      <c r="I784" s="29">
        <f>I788</f>
        <v>0</v>
      </c>
      <c r="J784" s="29">
        <f t="shared" ref="J784:M784" si="310">J788+J785</f>
        <v>5000</v>
      </c>
      <c r="K784" s="29">
        <f t="shared" si="310"/>
        <v>30700</v>
      </c>
      <c r="L784" s="29">
        <f t="shared" si="310"/>
        <v>35700</v>
      </c>
      <c r="M784" s="29">
        <f t="shared" si="310"/>
        <v>0</v>
      </c>
      <c r="N784" s="29">
        <v>35700</v>
      </c>
      <c r="O784" s="29">
        <v>35700</v>
      </c>
      <c r="P784" s="348">
        <v>35700</v>
      </c>
      <c r="Q784" s="256">
        <v>100</v>
      </c>
    </row>
    <row r="785" spans="1:17" s="30" customFormat="1">
      <c r="A785" s="6" t="s">
        <v>847</v>
      </c>
      <c r="B785" s="10" t="s">
        <v>505</v>
      </c>
      <c r="C785" s="10" t="s">
        <v>9</v>
      </c>
      <c r="D785" s="10" t="s">
        <v>26</v>
      </c>
      <c r="E785" s="65" t="s">
        <v>846</v>
      </c>
      <c r="F785" s="10"/>
      <c r="G785" s="28"/>
      <c r="H785" s="28"/>
      <c r="I785" s="29"/>
      <c r="J785" s="7">
        <f t="shared" ref="J785:M786" si="311">J786</f>
        <v>0</v>
      </c>
      <c r="K785" s="7">
        <f t="shared" si="311"/>
        <v>25700</v>
      </c>
      <c r="L785" s="7">
        <f t="shared" si="311"/>
        <v>25700</v>
      </c>
      <c r="M785" s="7">
        <f t="shared" si="311"/>
        <v>0</v>
      </c>
      <c r="N785" s="7">
        <v>25700</v>
      </c>
      <c r="O785" s="7">
        <v>25700</v>
      </c>
      <c r="P785" s="349">
        <v>25700</v>
      </c>
      <c r="Q785" s="257">
        <v>100</v>
      </c>
    </row>
    <row r="786" spans="1:17" s="30" customFormat="1" ht="31.5">
      <c r="A786" s="33" t="s">
        <v>951</v>
      </c>
      <c r="B786" s="10" t="s">
        <v>505</v>
      </c>
      <c r="C786" s="10" t="s">
        <v>9</v>
      </c>
      <c r="D786" s="10" t="s">
        <v>26</v>
      </c>
      <c r="E786" s="65" t="s">
        <v>950</v>
      </c>
      <c r="F786" s="44"/>
      <c r="G786" s="28"/>
      <c r="H786" s="28"/>
      <c r="I786" s="29"/>
      <c r="J786" s="7">
        <f t="shared" si="311"/>
        <v>0</v>
      </c>
      <c r="K786" s="7">
        <f t="shared" si="311"/>
        <v>25700</v>
      </c>
      <c r="L786" s="7">
        <f t="shared" si="311"/>
        <v>25700</v>
      </c>
      <c r="M786" s="7">
        <f t="shared" si="311"/>
        <v>0</v>
      </c>
      <c r="N786" s="7">
        <v>25700</v>
      </c>
      <c r="O786" s="7">
        <v>25700</v>
      </c>
      <c r="P786" s="349">
        <v>25700</v>
      </c>
      <c r="Q786" s="257">
        <v>100</v>
      </c>
    </row>
    <row r="787" spans="1:17" s="30" customFormat="1" ht="31.5">
      <c r="A787" s="8" t="s">
        <v>465</v>
      </c>
      <c r="B787" s="10" t="s">
        <v>505</v>
      </c>
      <c r="C787" s="10" t="s">
        <v>9</v>
      </c>
      <c r="D787" s="10" t="s">
        <v>26</v>
      </c>
      <c r="E787" s="65" t="s">
        <v>950</v>
      </c>
      <c r="F787" s="10" t="s">
        <v>475</v>
      </c>
      <c r="G787" s="28"/>
      <c r="H787" s="28"/>
      <c r="I787" s="29"/>
      <c r="J787" s="7"/>
      <c r="K787" s="7">
        <v>25700</v>
      </c>
      <c r="L787" s="7">
        <f>J787+K787</f>
        <v>25700</v>
      </c>
      <c r="M787" s="7"/>
      <c r="N787" s="7">
        <v>25700</v>
      </c>
      <c r="O787" s="7">
        <v>25700</v>
      </c>
      <c r="P787" s="349">
        <v>25700</v>
      </c>
      <c r="Q787" s="257">
        <v>100</v>
      </c>
    </row>
    <row r="788" spans="1:17" s="12" customFormat="1">
      <c r="A788" s="8" t="s">
        <v>17</v>
      </c>
      <c r="B788" s="10" t="s">
        <v>505</v>
      </c>
      <c r="C788" s="10" t="s">
        <v>9</v>
      </c>
      <c r="D788" s="10" t="s">
        <v>26</v>
      </c>
      <c r="E788" s="65" t="s">
        <v>18</v>
      </c>
      <c r="F788" s="10"/>
      <c r="G788" s="11">
        <v>5000</v>
      </c>
      <c r="H788" s="11">
        <v>5000</v>
      </c>
      <c r="I788" s="7">
        <f t="shared" ref="I788:M790" si="312">I789</f>
        <v>0</v>
      </c>
      <c r="J788" s="7">
        <f t="shared" si="312"/>
        <v>5000</v>
      </c>
      <c r="K788" s="7">
        <f t="shared" si="312"/>
        <v>5000</v>
      </c>
      <c r="L788" s="7">
        <f t="shared" si="312"/>
        <v>10000</v>
      </c>
      <c r="M788" s="7">
        <f t="shared" si="312"/>
        <v>0</v>
      </c>
      <c r="N788" s="7">
        <v>10000</v>
      </c>
      <c r="O788" s="7">
        <v>10000</v>
      </c>
      <c r="P788" s="349">
        <v>10000</v>
      </c>
      <c r="Q788" s="257">
        <v>100</v>
      </c>
    </row>
    <row r="789" spans="1:17" s="12" customFormat="1" ht="31.5">
      <c r="A789" s="8" t="s">
        <v>103</v>
      </c>
      <c r="B789" s="10" t="s">
        <v>505</v>
      </c>
      <c r="C789" s="10" t="s">
        <v>9</v>
      </c>
      <c r="D789" s="10" t="s">
        <v>26</v>
      </c>
      <c r="E789" s="65" t="s">
        <v>104</v>
      </c>
      <c r="F789" s="10"/>
      <c r="G789" s="11">
        <v>5000</v>
      </c>
      <c r="H789" s="11">
        <v>5000</v>
      </c>
      <c r="I789" s="7">
        <f t="shared" si="312"/>
        <v>0</v>
      </c>
      <c r="J789" s="7">
        <f t="shared" si="312"/>
        <v>5000</v>
      </c>
      <c r="K789" s="7">
        <f t="shared" si="312"/>
        <v>5000</v>
      </c>
      <c r="L789" s="7">
        <f t="shared" si="312"/>
        <v>10000</v>
      </c>
      <c r="M789" s="7">
        <f t="shared" si="312"/>
        <v>0</v>
      </c>
      <c r="N789" s="7">
        <v>10000</v>
      </c>
      <c r="O789" s="7">
        <v>10000</v>
      </c>
      <c r="P789" s="349">
        <v>10000</v>
      </c>
      <c r="Q789" s="257">
        <v>100</v>
      </c>
    </row>
    <row r="790" spans="1:17" s="12" customFormat="1" ht="31.5">
      <c r="A790" s="8" t="s">
        <v>694</v>
      </c>
      <c r="B790" s="10" t="s">
        <v>505</v>
      </c>
      <c r="C790" s="10" t="s">
        <v>9</v>
      </c>
      <c r="D790" s="10" t="s">
        <v>26</v>
      </c>
      <c r="E790" s="65" t="s">
        <v>139</v>
      </c>
      <c r="F790" s="10"/>
      <c r="G790" s="11">
        <v>5000</v>
      </c>
      <c r="H790" s="11">
        <v>5000</v>
      </c>
      <c r="I790" s="7">
        <f t="shared" si="312"/>
        <v>0</v>
      </c>
      <c r="J790" s="7">
        <f t="shared" si="312"/>
        <v>5000</v>
      </c>
      <c r="K790" s="7">
        <f t="shared" si="312"/>
        <v>5000</v>
      </c>
      <c r="L790" s="7">
        <f t="shared" si="312"/>
        <v>10000</v>
      </c>
      <c r="M790" s="7">
        <f t="shared" si="312"/>
        <v>0</v>
      </c>
      <c r="N790" s="7">
        <v>10000</v>
      </c>
      <c r="O790" s="7">
        <v>10000</v>
      </c>
      <c r="P790" s="349">
        <v>10000</v>
      </c>
      <c r="Q790" s="257">
        <v>100</v>
      </c>
    </row>
    <row r="791" spans="1:17" s="12" customFormat="1" ht="31.5">
      <c r="A791" s="8" t="s">
        <v>465</v>
      </c>
      <c r="B791" s="10" t="s">
        <v>505</v>
      </c>
      <c r="C791" s="10" t="s">
        <v>9</v>
      </c>
      <c r="D791" s="10" t="s">
        <v>26</v>
      </c>
      <c r="E791" s="65" t="s">
        <v>139</v>
      </c>
      <c r="F791" s="10" t="s">
        <v>475</v>
      </c>
      <c r="G791" s="11">
        <v>5000</v>
      </c>
      <c r="H791" s="11">
        <v>5000</v>
      </c>
      <c r="I791" s="7"/>
      <c r="J791" s="7">
        <f>H791+I791</f>
        <v>5000</v>
      </c>
      <c r="K791" s="7">
        <v>5000</v>
      </c>
      <c r="L791" s="7">
        <f>J791+K791</f>
        <v>10000</v>
      </c>
      <c r="M791" s="7"/>
      <c r="N791" s="7">
        <v>10000</v>
      </c>
      <c r="O791" s="7">
        <v>10000</v>
      </c>
      <c r="P791" s="349">
        <v>10000</v>
      </c>
      <c r="Q791" s="257">
        <v>100</v>
      </c>
    </row>
    <row r="792" spans="1:17" s="30" customFormat="1">
      <c r="A792" s="26" t="s">
        <v>45</v>
      </c>
      <c r="B792" s="27" t="s">
        <v>505</v>
      </c>
      <c r="C792" s="27" t="s">
        <v>140</v>
      </c>
      <c r="D792" s="27"/>
      <c r="E792" s="66"/>
      <c r="F792" s="27"/>
      <c r="G792" s="28">
        <v>10000</v>
      </c>
      <c r="H792" s="28">
        <v>10000</v>
      </c>
      <c r="I792" s="29" t="e">
        <f t="shared" ref="I792:M792" si="313">I793</f>
        <v>#REF!</v>
      </c>
      <c r="J792" s="29" t="e">
        <f t="shared" si="313"/>
        <v>#REF!</v>
      </c>
      <c r="K792" s="29" t="e">
        <f t="shared" si="313"/>
        <v>#REF!</v>
      </c>
      <c r="L792" s="29" t="e">
        <f t="shared" si="313"/>
        <v>#REF!</v>
      </c>
      <c r="M792" s="29" t="e">
        <f t="shared" si="313"/>
        <v>#REF!</v>
      </c>
      <c r="N792" s="29">
        <v>35714.400000000001</v>
      </c>
      <c r="O792" s="29">
        <v>35714.400000000001</v>
      </c>
      <c r="P792" s="348">
        <v>35714.300000000003</v>
      </c>
      <c r="Q792" s="256">
        <v>100</v>
      </c>
    </row>
    <row r="793" spans="1:17" s="30" customFormat="1">
      <c r="A793" s="26" t="s">
        <v>46</v>
      </c>
      <c r="B793" s="27" t="s">
        <v>505</v>
      </c>
      <c r="C793" s="27" t="s">
        <v>140</v>
      </c>
      <c r="D793" s="27" t="s">
        <v>28</v>
      </c>
      <c r="E793" s="66"/>
      <c r="F793" s="27"/>
      <c r="G793" s="28">
        <v>10000</v>
      </c>
      <c r="H793" s="28">
        <v>10000</v>
      </c>
      <c r="I793" s="29" t="e">
        <f>I797+I794</f>
        <v>#REF!</v>
      </c>
      <c r="J793" s="29" t="e">
        <f>J797+J794</f>
        <v>#REF!</v>
      </c>
      <c r="K793" s="29" t="e">
        <f>K797+K794</f>
        <v>#REF!</v>
      </c>
      <c r="L793" s="29" t="e">
        <f>L797+L794</f>
        <v>#REF!</v>
      </c>
      <c r="M793" s="29" t="e">
        <f>M797+M794</f>
        <v>#REF!</v>
      </c>
      <c r="N793" s="29">
        <v>35714.400000000001</v>
      </c>
      <c r="O793" s="29">
        <v>35714.400000000001</v>
      </c>
      <c r="P793" s="348">
        <v>35714.300000000003</v>
      </c>
      <c r="Q793" s="256">
        <v>100</v>
      </c>
    </row>
    <row r="794" spans="1:17" s="30" customFormat="1">
      <c r="A794" s="6" t="s">
        <v>847</v>
      </c>
      <c r="B794" s="10" t="s">
        <v>505</v>
      </c>
      <c r="C794" s="10" t="s">
        <v>140</v>
      </c>
      <c r="D794" s="10" t="s">
        <v>28</v>
      </c>
      <c r="E794" s="65" t="s">
        <v>846</v>
      </c>
      <c r="F794" s="10"/>
      <c r="G794" s="11"/>
      <c r="H794" s="11" t="e">
        <f>#REF!</f>
        <v>#REF!</v>
      </c>
      <c r="I794" s="7" t="e">
        <f>#REF!</f>
        <v>#REF!</v>
      </c>
      <c r="J794" s="7" t="e">
        <f>#REF!+J795</f>
        <v>#REF!</v>
      </c>
      <c r="K794" s="7" t="e">
        <f>#REF!+K795</f>
        <v>#REF!</v>
      </c>
      <c r="L794" s="7" t="e">
        <f>#REF!+L795</f>
        <v>#REF!</v>
      </c>
      <c r="M794" s="7" t="e">
        <f>#REF!+M795</f>
        <v>#REF!</v>
      </c>
      <c r="N794" s="7">
        <v>25714.400000000001</v>
      </c>
      <c r="O794" s="7">
        <v>25714.400000000001</v>
      </c>
      <c r="P794" s="349">
        <v>25714.400000000001</v>
      </c>
      <c r="Q794" s="257">
        <v>100</v>
      </c>
    </row>
    <row r="795" spans="1:17" s="30" customFormat="1" ht="31.5">
      <c r="A795" s="33" t="s">
        <v>951</v>
      </c>
      <c r="B795" s="10" t="s">
        <v>505</v>
      </c>
      <c r="C795" s="10" t="s">
        <v>140</v>
      </c>
      <c r="D795" s="10" t="s">
        <v>28</v>
      </c>
      <c r="E795" s="65" t="s">
        <v>950</v>
      </c>
      <c r="F795" s="10"/>
      <c r="G795" s="11"/>
      <c r="H795" s="11"/>
      <c r="I795" s="7"/>
      <c r="J795" s="7">
        <f t="shared" ref="J795:M795" si="314">J796</f>
        <v>0</v>
      </c>
      <c r="K795" s="7">
        <f t="shared" si="314"/>
        <v>25714.400000000001</v>
      </c>
      <c r="L795" s="7">
        <f t="shared" si="314"/>
        <v>25714.400000000001</v>
      </c>
      <c r="M795" s="7">
        <f t="shared" si="314"/>
        <v>0</v>
      </c>
      <c r="N795" s="7">
        <v>25714.400000000001</v>
      </c>
      <c r="O795" s="7">
        <v>25714.400000000001</v>
      </c>
      <c r="P795" s="349">
        <v>25714.400000000001</v>
      </c>
      <c r="Q795" s="257">
        <v>100</v>
      </c>
    </row>
    <row r="796" spans="1:17" s="30" customFormat="1" ht="47.25">
      <c r="A796" s="8" t="s">
        <v>438</v>
      </c>
      <c r="B796" s="10" t="s">
        <v>505</v>
      </c>
      <c r="C796" s="10" t="s">
        <v>140</v>
      </c>
      <c r="D796" s="10" t="s">
        <v>28</v>
      </c>
      <c r="E796" s="65" t="s">
        <v>950</v>
      </c>
      <c r="F796" s="10" t="s">
        <v>385</v>
      </c>
      <c r="G796" s="11"/>
      <c r="H796" s="11"/>
      <c r="I796" s="7"/>
      <c r="J796" s="7"/>
      <c r="K796" s="7">
        <f>25714+0.4</f>
        <v>25714.400000000001</v>
      </c>
      <c r="L796" s="7">
        <f>K796+J796</f>
        <v>25714.400000000001</v>
      </c>
      <c r="M796" s="7"/>
      <c r="N796" s="7">
        <v>25714.400000000001</v>
      </c>
      <c r="O796" s="7">
        <v>25714.400000000001</v>
      </c>
      <c r="P796" s="349">
        <v>25714.400000000001</v>
      </c>
      <c r="Q796" s="257">
        <v>100</v>
      </c>
    </row>
    <row r="797" spans="1:17" s="12" customFormat="1">
      <c r="A797" s="8" t="s">
        <v>17</v>
      </c>
      <c r="B797" s="10" t="s">
        <v>505</v>
      </c>
      <c r="C797" s="10" t="s">
        <v>140</v>
      </c>
      <c r="D797" s="10" t="s">
        <v>28</v>
      </c>
      <c r="E797" s="65" t="s">
        <v>18</v>
      </c>
      <c r="F797" s="10"/>
      <c r="G797" s="11">
        <v>10000</v>
      </c>
      <c r="H797" s="11">
        <v>10000</v>
      </c>
      <c r="I797" s="7">
        <f t="shared" ref="I797:M798" si="315">I798</f>
        <v>0</v>
      </c>
      <c r="J797" s="7">
        <f t="shared" si="315"/>
        <v>10000</v>
      </c>
      <c r="K797" s="7">
        <f t="shared" si="315"/>
        <v>0</v>
      </c>
      <c r="L797" s="7">
        <f t="shared" si="315"/>
        <v>10000</v>
      </c>
      <c r="M797" s="7">
        <f t="shared" si="315"/>
        <v>0</v>
      </c>
      <c r="N797" s="7">
        <v>10000</v>
      </c>
      <c r="O797" s="7">
        <v>10000</v>
      </c>
      <c r="P797" s="349">
        <v>9999.9</v>
      </c>
      <c r="Q797" s="257">
        <v>100</v>
      </c>
    </row>
    <row r="798" spans="1:17" s="12" customFormat="1" ht="31.5">
      <c r="A798" s="8" t="s">
        <v>103</v>
      </c>
      <c r="B798" s="10" t="s">
        <v>505</v>
      </c>
      <c r="C798" s="10" t="s">
        <v>140</v>
      </c>
      <c r="D798" s="10" t="s">
        <v>28</v>
      </c>
      <c r="E798" s="65" t="s">
        <v>104</v>
      </c>
      <c r="F798" s="10"/>
      <c r="G798" s="11">
        <v>10000</v>
      </c>
      <c r="H798" s="11">
        <v>10000</v>
      </c>
      <c r="I798" s="7">
        <f t="shared" si="315"/>
        <v>0</v>
      </c>
      <c r="J798" s="7">
        <f t="shared" si="315"/>
        <v>10000</v>
      </c>
      <c r="K798" s="7">
        <f t="shared" si="315"/>
        <v>0</v>
      </c>
      <c r="L798" s="7">
        <f t="shared" si="315"/>
        <v>10000</v>
      </c>
      <c r="M798" s="7">
        <f t="shared" si="315"/>
        <v>0</v>
      </c>
      <c r="N798" s="7">
        <v>10000</v>
      </c>
      <c r="O798" s="7">
        <v>10000</v>
      </c>
      <c r="P798" s="349">
        <v>9999.9</v>
      </c>
      <c r="Q798" s="257">
        <v>100</v>
      </c>
    </row>
    <row r="799" spans="1:17" s="12" customFormat="1" ht="47.25">
      <c r="A799" s="8" t="s">
        <v>438</v>
      </c>
      <c r="B799" s="10" t="s">
        <v>505</v>
      </c>
      <c r="C799" s="10" t="s">
        <v>140</v>
      </c>
      <c r="D799" s="10" t="s">
        <v>28</v>
      </c>
      <c r="E799" s="65" t="s">
        <v>139</v>
      </c>
      <c r="F799" s="41" t="s">
        <v>385</v>
      </c>
      <c r="G799" s="11">
        <v>10000</v>
      </c>
      <c r="H799" s="31">
        <v>10000</v>
      </c>
      <c r="I799" s="7"/>
      <c r="J799" s="7">
        <f>H799+I799</f>
        <v>10000</v>
      </c>
      <c r="K799" s="7"/>
      <c r="L799" s="7">
        <f>J799+K799</f>
        <v>10000</v>
      </c>
      <c r="M799" s="7"/>
      <c r="N799" s="7">
        <v>10000</v>
      </c>
      <c r="O799" s="7">
        <v>10000</v>
      </c>
      <c r="P799" s="349">
        <v>9999.9</v>
      </c>
      <c r="Q799" s="257">
        <v>100</v>
      </c>
    </row>
    <row r="800" spans="1:17" s="1" customFormat="1" ht="47.25">
      <c r="A800" s="5" t="s">
        <v>570</v>
      </c>
      <c r="B800" s="2" t="s">
        <v>505</v>
      </c>
      <c r="C800" s="2" t="s">
        <v>140</v>
      </c>
      <c r="D800" s="2" t="s">
        <v>28</v>
      </c>
      <c r="E800" s="4" t="s">
        <v>139</v>
      </c>
      <c r="F800" s="3" t="s">
        <v>385</v>
      </c>
      <c r="G800" s="95">
        <v>7000</v>
      </c>
      <c r="H800" s="96">
        <v>7000</v>
      </c>
      <c r="I800" s="97"/>
      <c r="J800" s="97">
        <f>H800+I800</f>
        <v>7000</v>
      </c>
      <c r="K800" s="97"/>
      <c r="L800" s="97">
        <f>J800+K800</f>
        <v>7000</v>
      </c>
      <c r="M800" s="97"/>
      <c r="N800" s="97">
        <v>7000</v>
      </c>
      <c r="O800" s="97">
        <v>7000</v>
      </c>
      <c r="P800" s="351">
        <v>7000</v>
      </c>
      <c r="Q800" s="258">
        <v>100</v>
      </c>
    </row>
    <row r="801" spans="1:17">
      <c r="A801" s="408" t="s">
        <v>141</v>
      </c>
      <c r="B801" s="409"/>
      <c r="C801" s="409"/>
      <c r="D801" s="409"/>
      <c r="E801" s="409"/>
      <c r="F801" s="409"/>
      <c r="G801" s="28">
        <v>158041.5</v>
      </c>
      <c r="H801" s="28">
        <v>1754863.3</v>
      </c>
      <c r="I801" s="29" t="e">
        <f>I802+I832+I841+I850+#REF!+#REF!+I854+I859</f>
        <v>#REF!</v>
      </c>
      <c r="J801" s="29" t="e">
        <f>J802+J832+J841+J850+#REF!+#REF!+J854+J859</f>
        <v>#REF!</v>
      </c>
      <c r="K801" s="29" t="e">
        <f>K802+K832+K841+K850+#REF!+#REF!+K854+K859</f>
        <v>#REF!</v>
      </c>
      <c r="L801" s="29" t="e">
        <f>L802+L832+L841+L850+#REF!+#REF!+L854+L859</f>
        <v>#REF!</v>
      </c>
      <c r="M801" s="29" t="e">
        <f>M802+M832+M841+M850+#REF!+#REF!+M854+M859</f>
        <v>#REF!</v>
      </c>
      <c r="N801" s="29">
        <v>1475077.8</v>
      </c>
      <c r="O801" s="29">
        <v>1471910.4</v>
      </c>
      <c r="P801" s="348">
        <v>1251090.2</v>
      </c>
      <c r="Q801" s="256">
        <v>85</v>
      </c>
    </row>
    <row r="802" spans="1:17" s="30" customFormat="1">
      <c r="A802" s="26" t="s">
        <v>52</v>
      </c>
      <c r="B802" s="27" t="s">
        <v>506</v>
      </c>
      <c r="C802" s="27" t="s">
        <v>16</v>
      </c>
      <c r="D802" s="27"/>
      <c r="E802" s="69"/>
      <c r="F802" s="27"/>
      <c r="G802" s="28">
        <v>19949</v>
      </c>
      <c r="H802" s="28">
        <v>262198.3</v>
      </c>
      <c r="I802" s="29" t="e">
        <f>I803+I814+I823</f>
        <v>#REF!</v>
      </c>
      <c r="J802" s="29" t="e">
        <f>J803+J814+J823</f>
        <v>#REF!</v>
      </c>
      <c r="K802" s="29" t="e">
        <f>K803+K814+K823</f>
        <v>#REF!</v>
      </c>
      <c r="L802" s="29" t="e">
        <f>L803+L814+L823</f>
        <v>#REF!</v>
      </c>
      <c r="M802" s="29" t="e">
        <f>M803+M814+M823</f>
        <v>#REF!</v>
      </c>
      <c r="N802" s="29">
        <v>170013.3</v>
      </c>
      <c r="O802" s="29">
        <v>166413.20000000001</v>
      </c>
      <c r="P802" s="348">
        <v>56333.4</v>
      </c>
      <c r="Q802" s="256">
        <v>33.85</v>
      </c>
    </row>
    <row r="803" spans="1:17" s="30" customFormat="1" ht="47.25">
      <c r="A803" s="26" t="s">
        <v>142</v>
      </c>
      <c r="B803" s="27" t="s">
        <v>506</v>
      </c>
      <c r="C803" s="27" t="s">
        <v>16</v>
      </c>
      <c r="D803" s="27" t="s">
        <v>34</v>
      </c>
      <c r="E803" s="27"/>
      <c r="F803" s="27"/>
      <c r="G803" s="28">
        <v>3260.9</v>
      </c>
      <c r="H803" s="28">
        <v>40510.199999999997</v>
      </c>
      <c r="I803" s="29" t="e">
        <f>I804+#REF!+#REF!</f>
        <v>#REF!</v>
      </c>
      <c r="J803" s="29" t="e">
        <f>J804+#REF!</f>
        <v>#REF!</v>
      </c>
      <c r="K803" s="29" t="e">
        <f>K804+#REF!</f>
        <v>#REF!</v>
      </c>
      <c r="L803" s="29" t="e">
        <f>L804+#REF!</f>
        <v>#REF!</v>
      </c>
      <c r="M803" s="29" t="e">
        <f>M804+#REF!</f>
        <v>#REF!</v>
      </c>
      <c r="N803" s="29">
        <v>40559.800000000003</v>
      </c>
      <c r="O803" s="29">
        <v>40669.800000000003</v>
      </c>
      <c r="P803" s="348">
        <v>40283</v>
      </c>
      <c r="Q803" s="256">
        <v>99.05</v>
      </c>
    </row>
    <row r="804" spans="1:17" s="12" customFormat="1" ht="47.25">
      <c r="A804" s="8" t="s">
        <v>65</v>
      </c>
      <c r="B804" s="10" t="s">
        <v>506</v>
      </c>
      <c r="C804" s="10" t="s">
        <v>16</v>
      </c>
      <c r="D804" s="10" t="s">
        <v>34</v>
      </c>
      <c r="E804" s="41" t="s">
        <v>41</v>
      </c>
      <c r="F804" s="10"/>
      <c r="G804" s="11">
        <v>3260.9</v>
      </c>
      <c r="H804" s="31">
        <v>40110.199999999997</v>
      </c>
      <c r="I804" s="7">
        <f t="shared" ref="I804:M804" si="316">I805</f>
        <v>-178.1</v>
      </c>
      <c r="J804" s="7">
        <f t="shared" si="316"/>
        <v>39932.1</v>
      </c>
      <c r="K804" s="7">
        <f t="shared" si="316"/>
        <v>495</v>
      </c>
      <c r="L804" s="7">
        <f t="shared" si="316"/>
        <v>40427.1</v>
      </c>
      <c r="M804" s="7">
        <f t="shared" si="316"/>
        <v>132.69999999999999</v>
      </c>
      <c r="N804" s="7">
        <v>40559.800000000003</v>
      </c>
      <c r="O804" s="7">
        <v>40559.800000000003</v>
      </c>
      <c r="P804" s="349">
        <v>40173</v>
      </c>
      <c r="Q804" s="257">
        <v>99.05</v>
      </c>
    </row>
    <row r="805" spans="1:17" s="12" customFormat="1">
      <c r="A805" s="8" t="s">
        <v>42</v>
      </c>
      <c r="B805" s="10" t="s">
        <v>506</v>
      </c>
      <c r="C805" s="10" t="s">
        <v>16</v>
      </c>
      <c r="D805" s="10" t="s">
        <v>34</v>
      </c>
      <c r="E805" s="41" t="s">
        <v>43</v>
      </c>
      <c r="F805" s="10"/>
      <c r="G805" s="11">
        <v>3260.9</v>
      </c>
      <c r="H805" s="11">
        <v>40110.199999999997</v>
      </c>
      <c r="I805" s="7">
        <f t="shared" ref="I805:M805" si="317">I806+I807+I808+I809+I810+I811</f>
        <v>-178.1</v>
      </c>
      <c r="J805" s="7">
        <f t="shared" si="317"/>
        <v>39932.1</v>
      </c>
      <c r="K805" s="7">
        <f t="shared" si="317"/>
        <v>495</v>
      </c>
      <c r="L805" s="7">
        <f t="shared" si="317"/>
        <v>40427.1</v>
      </c>
      <c r="M805" s="7">
        <f t="shared" si="317"/>
        <v>132.69999999999999</v>
      </c>
      <c r="N805" s="7">
        <v>40559.800000000003</v>
      </c>
      <c r="O805" s="7">
        <v>40559.800000000003</v>
      </c>
      <c r="P805" s="349">
        <v>40173</v>
      </c>
      <c r="Q805" s="257">
        <v>99.05</v>
      </c>
    </row>
    <row r="806" spans="1:17" s="12" customFormat="1">
      <c r="A806" s="8" t="s">
        <v>337</v>
      </c>
      <c r="B806" s="10" t="s">
        <v>506</v>
      </c>
      <c r="C806" s="10" t="s">
        <v>16</v>
      </c>
      <c r="D806" s="10" t="s">
        <v>34</v>
      </c>
      <c r="E806" s="41" t="s">
        <v>43</v>
      </c>
      <c r="F806" s="10" t="s">
        <v>331</v>
      </c>
      <c r="G806" s="11">
        <v>3390.9</v>
      </c>
      <c r="H806" s="31">
        <v>33319.599999999999</v>
      </c>
      <c r="I806" s="7"/>
      <c r="J806" s="7">
        <f t="shared" ref="J806:J811" si="318">H806+I806</f>
        <v>33319.599999999999</v>
      </c>
      <c r="K806" s="7">
        <v>1045.0999999999999</v>
      </c>
      <c r="L806" s="7">
        <f t="shared" ref="L806:L811" si="319">J806+K806</f>
        <v>34364.699999999997</v>
      </c>
      <c r="M806" s="7"/>
      <c r="N806" s="7">
        <v>34364.699999999997</v>
      </c>
      <c r="O806" s="7">
        <v>34111.699999999997</v>
      </c>
      <c r="P806" s="349">
        <v>33910.400000000001</v>
      </c>
      <c r="Q806" s="257">
        <v>99.41</v>
      </c>
    </row>
    <row r="807" spans="1:17" s="12" customFormat="1">
      <c r="A807" s="8" t="s">
        <v>356</v>
      </c>
      <c r="B807" s="10" t="s">
        <v>506</v>
      </c>
      <c r="C807" s="10" t="s">
        <v>16</v>
      </c>
      <c r="D807" s="10" t="s">
        <v>34</v>
      </c>
      <c r="E807" s="41" t="s">
        <v>43</v>
      </c>
      <c r="F807" s="10" t="s">
        <v>332</v>
      </c>
      <c r="G807" s="11">
        <v>-305.3</v>
      </c>
      <c r="H807" s="31">
        <v>1440</v>
      </c>
      <c r="I807" s="7"/>
      <c r="J807" s="7">
        <f t="shared" si="318"/>
        <v>1440</v>
      </c>
      <c r="K807" s="7">
        <v>300</v>
      </c>
      <c r="L807" s="7">
        <f t="shared" si="319"/>
        <v>1740</v>
      </c>
      <c r="M807" s="7">
        <v>-342.5</v>
      </c>
      <c r="N807" s="7">
        <v>1397.5</v>
      </c>
      <c r="O807" s="7">
        <v>1418.5</v>
      </c>
      <c r="P807" s="349">
        <v>1410.2</v>
      </c>
      <c r="Q807" s="257">
        <v>99.41</v>
      </c>
    </row>
    <row r="808" spans="1:17" s="12" customFormat="1" ht="31.5">
      <c r="A808" s="8" t="s">
        <v>361</v>
      </c>
      <c r="B808" s="10" t="s">
        <v>506</v>
      </c>
      <c r="C808" s="10" t="s">
        <v>16</v>
      </c>
      <c r="D808" s="10" t="s">
        <v>34</v>
      </c>
      <c r="E808" s="41" t="s">
        <v>43</v>
      </c>
      <c r="F808" s="10" t="s">
        <v>333</v>
      </c>
      <c r="G808" s="11">
        <v>250</v>
      </c>
      <c r="H808" s="31">
        <v>450</v>
      </c>
      <c r="I808" s="7"/>
      <c r="J808" s="7">
        <f t="shared" si="318"/>
        <v>450</v>
      </c>
      <c r="K808" s="7"/>
      <c r="L808" s="7">
        <f t="shared" si="319"/>
        <v>450</v>
      </c>
      <c r="M808" s="7">
        <v>-35</v>
      </c>
      <c r="N808" s="7">
        <v>415</v>
      </c>
      <c r="O808" s="7">
        <v>415</v>
      </c>
      <c r="P808" s="349">
        <v>391.1</v>
      </c>
      <c r="Q808" s="257">
        <v>94.24</v>
      </c>
    </row>
    <row r="809" spans="1:17" s="12" customFormat="1">
      <c r="A809" s="8" t="s">
        <v>362</v>
      </c>
      <c r="B809" s="10" t="s">
        <v>506</v>
      </c>
      <c r="C809" s="10" t="s">
        <v>16</v>
      </c>
      <c r="D809" s="10" t="s">
        <v>34</v>
      </c>
      <c r="E809" s="41" t="s">
        <v>43</v>
      </c>
      <c r="F809" s="10" t="s">
        <v>334</v>
      </c>
      <c r="G809" s="11">
        <v>-74.7</v>
      </c>
      <c r="H809" s="31">
        <v>4107.8999999999996</v>
      </c>
      <c r="I809" s="7"/>
      <c r="J809" s="7">
        <f t="shared" si="318"/>
        <v>4107.8999999999996</v>
      </c>
      <c r="K809" s="7">
        <f>95-463.1</f>
        <v>-368.1</v>
      </c>
      <c r="L809" s="7">
        <f t="shared" si="319"/>
        <v>3739.8</v>
      </c>
      <c r="M809" s="7">
        <v>510.2</v>
      </c>
      <c r="N809" s="7">
        <v>4250</v>
      </c>
      <c r="O809" s="7">
        <v>4482</v>
      </c>
      <c r="P809" s="349">
        <v>4375.8</v>
      </c>
      <c r="Q809" s="257">
        <v>97.63</v>
      </c>
    </row>
    <row r="810" spans="1:17" s="12" customFormat="1">
      <c r="A810" s="8" t="s">
        <v>384</v>
      </c>
      <c r="B810" s="10" t="s">
        <v>506</v>
      </c>
      <c r="C810" s="10" t="s">
        <v>16</v>
      </c>
      <c r="D810" s="10" t="s">
        <v>34</v>
      </c>
      <c r="E810" s="41" t="s">
        <v>43</v>
      </c>
      <c r="F810" s="10" t="s">
        <v>335</v>
      </c>
      <c r="G810" s="11">
        <v>0</v>
      </c>
      <c r="H810" s="31">
        <v>696.7</v>
      </c>
      <c r="I810" s="7">
        <v>-178.1</v>
      </c>
      <c r="J810" s="7">
        <f t="shared" si="318"/>
        <v>518.6</v>
      </c>
      <c r="K810" s="7">
        <v>-457</v>
      </c>
      <c r="L810" s="7">
        <f t="shared" si="319"/>
        <v>61.6</v>
      </c>
      <c r="M810" s="7"/>
      <c r="N810" s="7">
        <v>61.6</v>
      </c>
      <c r="O810" s="7">
        <v>61.6</v>
      </c>
      <c r="P810" s="349">
        <v>31.9</v>
      </c>
      <c r="Q810" s="257">
        <v>51.79</v>
      </c>
    </row>
    <row r="811" spans="1:17" s="12" customFormat="1">
      <c r="A811" s="8" t="s">
        <v>380</v>
      </c>
      <c r="B811" s="10" t="s">
        <v>506</v>
      </c>
      <c r="C811" s="10" t="s">
        <v>16</v>
      </c>
      <c r="D811" s="10" t="s">
        <v>34</v>
      </c>
      <c r="E811" s="41" t="s">
        <v>43</v>
      </c>
      <c r="F811" s="10" t="s">
        <v>336</v>
      </c>
      <c r="G811" s="11">
        <v>0</v>
      </c>
      <c r="H811" s="31">
        <v>96</v>
      </c>
      <c r="I811" s="7"/>
      <c r="J811" s="7">
        <f t="shared" si="318"/>
        <v>96</v>
      </c>
      <c r="K811" s="7">
        <v>-25</v>
      </c>
      <c r="L811" s="7">
        <f t="shared" si="319"/>
        <v>71</v>
      </c>
      <c r="M811" s="7"/>
      <c r="N811" s="7">
        <v>71</v>
      </c>
      <c r="O811" s="7">
        <v>71</v>
      </c>
      <c r="P811" s="349">
        <v>53.6</v>
      </c>
      <c r="Q811" s="257">
        <v>75.489999999999995</v>
      </c>
    </row>
    <row r="812" spans="1:17" s="12" customFormat="1">
      <c r="A812" s="8" t="s">
        <v>150</v>
      </c>
      <c r="B812" s="10" t="s">
        <v>506</v>
      </c>
      <c r="C812" s="10" t="s">
        <v>16</v>
      </c>
      <c r="D812" s="10" t="s">
        <v>34</v>
      </c>
      <c r="E812" s="10" t="s">
        <v>151</v>
      </c>
      <c r="F812" s="10"/>
      <c r="G812" s="11"/>
      <c r="H812" s="31"/>
      <c r="I812" s="7"/>
      <c r="J812" s="7"/>
      <c r="K812" s="7"/>
      <c r="L812" s="7"/>
      <c r="M812" s="7"/>
      <c r="N812" s="7">
        <v>0</v>
      </c>
      <c r="O812" s="7">
        <v>110</v>
      </c>
      <c r="P812" s="349">
        <v>110</v>
      </c>
      <c r="Q812" s="257">
        <v>100</v>
      </c>
    </row>
    <row r="813" spans="1:17" s="12" customFormat="1">
      <c r="A813" s="8" t="s">
        <v>362</v>
      </c>
      <c r="B813" s="10" t="s">
        <v>506</v>
      </c>
      <c r="C813" s="10" t="s">
        <v>16</v>
      </c>
      <c r="D813" s="10" t="s">
        <v>34</v>
      </c>
      <c r="E813" s="10" t="s">
        <v>151</v>
      </c>
      <c r="F813" s="10" t="s">
        <v>334</v>
      </c>
      <c r="G813" s="11"/>
      <c r="H813" s="31"/>
      <c r="I813" s="7"/>
      <c r="J813" s="7"/>
      <c r="K813" s="7"/>
      <c r="L813" s="7"/>
      <c r="M813" s="7"/>
      <c r="N813" s="7">
        <v>0</v>
      </c>
      <c r="O813" s="7">
        <v>110</v>
      </c>
      <c r="P813" s="349">
        <v>110</v>
      </c>
      <c r="Q813" s="257">
        <v>100</v>
      </c>
    </row>
    <row r="814" spans="1:17" s="30" customFormat="1">
      <c r="A814" s="26" t="s">
        <v>143</v>
      </c>
      <c r="B814" s="27" t="s">
        <v>506</v>
      </c>
      <c r="C814" s="27" t="s">
        <v>16</v>
      </c>
      <c r="D814" s="27" t="s">
        <v>50</v>
      </c>
      <c r="E814" s="27"/>
      <c r="F814" s="27"/>
      <c r="G814" s="28">
        <v>16236</v>
      </c>
      <c r="H814" s="28">
        <v>116236</v>
      </c>
      <c r="I814" s="29">
        <f t="shared" ref="I814:M814" si="320">I815</f>
        <v>-8324</v>
      </c>
      <c r="J814" s="29">
        <f t="shared" si="320"/>
        <v>107912</v>
      </c>
      <c r="K814" s="29">
        <f t="shared" si="320"/>
        <v>-48600</v>
      </c>
      <c r="L814" s="29">
        <f t="shared" si="320"/>
        <v>59312</v>
      </c>
      <c r="M814" s="29">
        <f t="shared" si="320"/>
        <v>-2000</v>
      </c>
      <c r="N814" s="29">
        <v>57312</v>
      </c>
      <c r="O814" s="29">
        <v>54034.9</v>
      </c>
      <c r="P814" s="348">
        <v>0</v>
      </c>
      <c r="Q814" s="256">
        <v>0</v>
      </c>
    </row>
    <row r="815" spans="1:17" s="12" customFormat="1">
      <c r="A815" s="8" t="s">
        <v>144</v>
      </c>
      <c r="B815" s="10" t="s">
        <v>506</v>
      </c>
      <c r="C815" s="10" t="s">
        <v>16</v>
      </c>
      <c r="D815" s="10" t="s">
        <v>50</v>
      </c>
      <c r="E815" s="10" t="s">
        <v>145</v>
      </c>
      <c r="F815" s="10"/>
      <c r="G815" s="11">
        <v>16236</v>
      </c>
      <c r="H815" s="11">
        <v>116236</v>
      </c>
      <c r="I815" s="7">
        <f t="shared" ref="I815:M815" si="321">I816+I821</f>
        <v>-8324</v>
      </c>
      <c r="J815" s="7">
        <f t="shared" si="321"/>
        <v>107912</v>
      </c>
      <c r="K815" s="7">
        <f t="shared" si="321"/>
        <v>-48600</v>
      </c>
      <c r="L815" s="7">
        <f t="shared" si="321"/>
        <v>59312</v>
      </c>
      <c r="M815" s="7">
        <f t="shared" si="321"/>
        <v>-2000</v>
      </c>
      <c r="N815" s="7">
        <v>57312</v>
      </c>
      <c r="O815" s="7">
        <v>54034.9</v>
      </c>
      <c r="P815" s="349">
        <v>0</v>
      </c>
      <c r="Q815" s="257">
        <v>0</v>
      </c>
    </row>
    <row r="816" spans="1:17" s="12" customFormat="1" ht="31.5">
      <c r="A816" s="8" t="s">
        <v>146</v>
      </c>
      <c r="B816" s="10" t="s">
        <v>506</v>
      </c>
      <c r="C816" s="10" t="s">
        <v>16</v>
      </c>
      <c r="D816" s="10" t="s">
        <v>50</v>
      </c>
      <c r="E816" s="10" t="s">
        <v>147</v>
      </c>
      <c r="F816" s="10"/>
      <c r="G816" s="11">
        <v>25000</v>
      </c>
      <c r="H816" s="11">
        <v>45000</v>
      </c>
      <c r="I816" s="7">
        <f t="shared" ref="I816:M816" si="322">I817+I819</f>
        <v>-8324</v>
      </c>
      <c r="J816" s="7">
        <f t="shared" si="322"/>
        <v>36676</v>
      </c>
      <c r="K816" s="7">
        <f t="shared" si="322"/>
        <v>0</v>
      </c>
      <c r="L816" s="7">
        <f t="shared" si="322"/>
        <v>36676</v>
      </c>
      <c r="M816" s="7">
        <f t="shared" si="322"/>
        <v>-2000</v>
      </c>
      <c r="N816" s="7">
        <v>34676</v>
      </c>
      <c r="O816" s="7">
        <v>31398.9</v>
      </c>
      <c r="P816" s="349">
        <v>0</v>
      </c>
      <c r="Q816" s="257">
        <v>0</v>
      </c>
    </row>
    <row r="817" spans="1:17" s="12" customFormat="1" ht="47.25">
      <c r="A817" s="8" t="s">
        <v>148</v>
      </c>
      <c r="B817" s="10" t="s">
        <v>506</v>
      </c>
      <c r="C817" s="10" t="s">
        <v>16</v>
      </c>
      <c r="D817" s="10" t="s">
        <v>50</v>
      </c>
      <c r="E817" s="10" t="s">
        <v>149</v>
      </c>
      <c r="F817" s="10"/>
      <c r="G817" s="11">
        <v>10000</v>
      </c>
      <c r="H817" s="11">
        <v>20000</v>
      </c>
      <c r="I817" s="7">
        <f t="shared" ref="I817:M817" si="323">I818</f>
        <v>-7000</v>
      </c>
      <c r="J817" s="7">
        <f t="shared" si="323"/>
        <v>13000</v>
      </c>
      <c r="K817" s="7">
        <f t="shared" si="323"/>
        <v>0</v>
      </c>
      <c r="L817" s="7">
        <f t="shared" si="323"/>
        <v>13000</v>
      </c>
      <c r="M817" s="7">
        <f t="shared" si="323"/>
        <v>0</v>
      </c>
      <c r="N817" s="7">
        <v>13000</v>
      </c>
      <c r="O817" s="7">
        <v>11707.9</v>
      </c>
      <c r="P817" s="349">
        <v>0</v>
      </c>
      <c r="Q817" s="257">
        <v>0</v>
      </c>
    </row>
    <row r="818" spans="1:17" s="12" customFormat="1">
      <c r="A818" s="8" t="s">
        <v>426</v>
      </c>
      <c r="B818" s="10" t="s">
        <v>506</v>
      </c>
      <c r="C818" s="10" t="s">
        <v>16</v>
      </c>
      <c r="D818" s="10" t="s">
        <v>50</v>
      </c>
      <c r="E818" s="10" t="s">
        <v>149</v>
      </c>
      <c r="F818" s="10" t="s">
        <v>425</v>
      </c>
      <c r="G818" s="11">
        <v>10000</v>
      </c>
      <c r="H818" s="31">
        <v>20000</v>
      </c>
      <c r="I818" s="7">
        <f>-500-5000-1500</f>
        <v>-7000</v>
      </c>
      <c r="J818" s="7">
        <f>H818+I818</f>
        <v>13000</v>
      </c>
      <c r="K818" s="7">
        <f>-500-1000-3500-49-529.1-1350+6928.1</f>
        <v>0</v>
      </c>
      <c r="L818" s="7">
        <f>J818+K818</f>
        <v>13000</v>
      </c>
      <c r="M818" s="7"/>
      <c r="N818" s="7">
        <v>13000</v>
      </c>
      <c r="O818" s="7">
        <v>11707.9</v>
      </c>
      <c r="P818" s="349">
        <v>0</v>
      </c>
      <c r="Q818" s="257">
        <v>0</v>
      </c>
    </row>
    <row r="819" spans="1:17" s="12" customFormat="1">
      <c r="A819" s="8" t="s">
        <v>150</v>
      </c>
      <c r="B819" s="10" t="s">
        <v>506</v>
      </c>
      <c r="C819" s="10" t="s">
        <v>16</v>
      </c>
      <c r="D819" s="10" t="s">
        <v>50</v>
      </c>
      <c r="E819" s="10" t="s">
        <v>151</v>
      </c>
      <c r="F819" s="10"/>
      <c r="G819" s="11">
        <v>15000</v>
      </c>
      <c r="H819" s="11">
        <v>25000</v>
      </c>
      <c r="I819" s="7">
        <f t="shared" ref="I819:M819" si="324">I820</f>
        <v>-1324</v>
      </c>
      <c r="J819" s="7">
        <f t="shared" si="324"/>
        <v>23676</v>
      </c>
      <c r="K819" s="7">
        <f t="shared" si="324"/>
        <v>0</v>
      </c>
      <c r="L819" s="7">
        <f t="shared" si="324"/>
        <v>23676</v>
      </c>
      <c r="M819" s="7">
        <f t="shared" si="324"/>
        <v>-2000</v>
      </c>
      <c r="N819" s="7">
        <v>21676</v>
      </c>
      <c r="O819" s="7">
        <v>19691</v>
      </c>
      <c r="P819" s="349">
        <v>0</v>
      </c>
      <c r="Q819" s="257">
        <v>0</v>
      </c>
    </row>
    <row r="820" spans="1:17" s="12" customFormat="1">
      <c r="A820" s="8" t="s">
        <v>426</v>
      </c>
      <c r="B820" s="10" t="s">
        <v>506</v>
      </c>
      <c r="C820" s="10" t="s">
        <v>152</v>
      </c>
      <c r="D820" s="10" t="s">
        <v>50</v>
      </c>
      <c r="E820" s="10" t="s">
        <v>151</v>
      </c>
      <c r="F820" s="10" t="s">
        <v>425</v>
      </c>
      <c r="G820" s="11">
        <v>15000</v>
      </c>
      <c r="H820" s="31">
        <v>25000</v>
      </c>
      <c r="I820" s="7">
        <f>-54-70-1000-200</f>
        <v>-1324</v>
      </c>
      <c r="J820" s="7">
        <f>H820+I820</f>
        <v>23676</v>
      </c>
      <c r="K820" s="7">
        <f>-5135.3-70-100-154-360-1000-500-50-160-1000-400-159-300-585-800-600-602.2-300-149.6-66.1-100-150-99-1140-300-75-45+155+585+602.2-100+13158</f>
        <v>0</v>
      </c>
      <c r="L820" s="7">
        <f>J820+K820</f>
        <v>23676</v>
      </c>
      <c r="M820" s="7">
        <v>-2000</v>
      </c>
      <c r="N820" s="7">
        <v>21676</v>
      </c>
      <c r="O820" s="7">
        <v>19691</v>
      </c>
      <c r="P820" s="349">
        <v>0</v>
      </c>
      <c r="Q820" s="257">
        <v>0</v>
      </c>
    </row>
    <row r="821" spans="1:17" s="12" customFormat="1">
      <c r="A821" s="8" t="s">
        <v>153</v>
      </c>
      <c r="B821" s="10" t="s">
        <v>506</v>
      </c>
      <c r="C821" s="10" t="s">
        <v>152</v>
      </c>
      <c r="D821" s="10" t="s">
        <v>50</v>
      </c>
      <c r="E821" s="41" t="s">
        <v>154</v>
      </c>
      <c r="F821" s="10"/>
      <c r="G821" s="11">
        <v>-8764</v>
      </c>
      <c r="H821" s="11">
        <v>71236</v>
      </c>
      <c r="I821" s="7">
        <f t="shared" ref="I821:M821" si="325">I822</f>
        <v>0</v>
      </c>
      <c r="J821" s="7">
        <f t="shared" si="325"/>
        <v>71236</v>
      </c>
      <c r="K821" s="7">
        <f t="shared" si="325"/>
        <v>-48600</v>
      </c>
      <c r="L821" s="7">
        <f t="shared" si="325"/>
        <v>22636</v>
      </c>
      <c r="M821" s="7">
        <f t="shared" si="325"/>
        <v>0</v>
      </c>
      <c r="N821" s="7">
        <v>22636</v>
      </c>
      <c r="O821" s="7">
        <v>22636</v>
      </c>
      <c r="P821" s="349">
        <v>0</v>
      </c>
      <c r="Q821" s="257">
        <v>0</v>
      </c>
    </row>
    <row r="822" spans="1:17" s="12" customFormat="1">
      <c r="A822" s="8" t="s">
        <v>426</v>
      </c>
      <c r="B822" s="10" t="s">
        <v>506</v>
      </c>
      <c r="C822" s="10" t="s">
        <v>152</v>
      </c>
      <c r="D822" s="10" t="s">
        <v>50</v>
      </c>
      <c r="E822" s="10" t="s">
        <v>154</v>
      </c>
      <c r="F822" s="10" t="s">
        <v>425</v>
      </c>
      <c r="G822" s="11">
        <v>-8764</v>
      </c>
      <c r="H822" s="31">
        <v>71236</v>
      </c>
      <c r="I822" s="7"/>
      <c r="J822" s="7">
        <f>H822+I822</f>
        <v>71236</v>
      </c>
      <c r="K822" s="7">
        <v>-48600</v>
      </c>
      <c r="L822" s="7">
        <f>J822+K822</f>
        <v>22636</v>
      </c>
      <c r="M822" s="7"/>
      <c r="N822" s="7">
        <v>22636</v>
      </c>
      <c r="O822" s="7">
        <v>22636</v>
      </c>
      <c r="P822" s="349">
        <v>0</v>
      </c>
      <c r="Q822" s="257">
        <v>0</v>
      </c>
    </row>
    <row r="823" spans="1:17" s="30" customFormat="1">
      <c r="A823" s="26" t="s">
        <v>53</v>
      </c>
      <c r="B823" s="27" t="s">
        <v>506</v>
      </c>
      <c r="C823" s="27" t="s">
        <v>16</v>
      </c>
      <c r="D823" s="27" t="s">
        <v>54</v>
      </c>
      <c r="E823" s="27"/>
      <c r="F823" s="27"/>
      <c r="G823" s="28">
        <v>452.1</v>
      </c>
      <c r="H823" s="28">
        <v>105452.1</v>
      </c>
      <c r="I823" s="29" t="e">
        <f t="shared" ref="I823:M823" si="326">I824+I827</f>
        <v>#REF!</v>
      </c>
      <c r="J823" s="29" t="e">
        <f t="shared" si="326"/>
        <v>#REF!</v>
      </c>
      <c r="K823" s="29" t="e">
        <f t="shared" si="326"/>
        <v>#REF!</v>
      </c>
      <c r="L823" s="29" t="e">
        <f t="shared" si="326"/>
        <v>#REF!</v>
      </c>
      <c r="M823" s="29" t="e">
        <f t="shared" si="326"/>
        <v>#REF!</v>
      </c>
      <c r="N823" s="29">
        <v>72141.5</v>
      </c>
      <c r="O823" s="29">
        <v>71708.5</v>
      </c>
      <c r="P823" s="348">
        <v>16050.4</v>
      </c>
      <c r="Q823" s="256">
        <v>22.38</v>
      </c>
    </row>
    <row r="824" spans="1:17" s="12" customFormat="1">
      <c r="A824" s="8" t="s">
        <v>17</v>
      </c>
      <c r="B824" s="10" t="s">
        <v>506</v>
      </c>
      <c r="C824" s="10" t="s">
        <v>16</v>
      </c>
      <c r="D824" s="10" t="s">
        <v>54</v>
      </c>
      <c r="E824" s="10" t="s">
        <v>18</v>
      </c>
      <c r="F824" s="10"/>
      <c r="G824" s="11">
        <v>0</v>
      </c>
      <c r="H824" s="11">
        <v>5000</v>
      </c>
      <c r="I824" s="7">
        <f t="shared" ref="I824:M825" si="327">I825</f>
        <v>0</v>
      </c>
      <c r="J824" s="7">
        <f t="shared" si="327"/>
        <v>5000</v>
      </c>
      <c r="K824" s="7">
        <f t="shared" si="327"/>
        <v>0</v>
      </c>
      <c r="L824" s="7">
        <f t="shared" si="327"/>
        <v>5000</v>
      </c>
      <c r="M824" s="7">
        <f t="shared" si="327"/>
        <v>0</v>
      </c>
      <c r="N824" s="7">
        <v>5000</v>
      </c>
      <c r="O824" s="7">
        <v>4567.2</v>
      </c>
      <c r="P824" s="349">
        <v>4516.7</v>
      </c>
      <c r="Q824" s="257">
        <v>98.89</v>
      </c>
    </row>
    <row r="825" spans="1:17" s="12" customFormat="1" ht="31.5">
      <c r="A825" s="8" t="s">
        <v>536</v>
      </c>
      <c r="B825" s="10" t="s">
        <v>506</v>
      </c>
      <c r="C825" s="10" t="s">
        <v>16</v>
      </c>
      <c r="D825" s="10" t="s">
        <v>54</v>
      </c>
      <c r="E825" s="10" t="s">
        <v>155</v>
      </c>
      <c r="F825" s="10"/>
      <c r="G825" s="11">
        <v>0</v>
      </c>
      <c r="H825" s="11">
        <v>5000</v>
      </c>
      <c r="I825" s="7">
        <f t="shared" si="327"/>
        <v>0</v>
      </c>
      <c r="J825" s="7">
        <f t="shared" si="327"/>
        <v>5000</v>
      </c>
      <c r="K825" s="7">
        <f t="shared" si="327"/>
        <v>0</v>
      </c>
      <c r="L825" s="7">
        <f t="shared" si="327"/>
        <v>5000</v>
      </c>
      <c r="M825" s="7">
        <f t="shared" si="327"/>
        <v>0</v>
      </c>
      <c r="N825" s="7">
        <v>5000</v>
      </c>
      <c r="O825" s="7">
        <v>4567.2</v>
      </c>
      <c r="P825" s="349">
        <v>4516.7</v>
      </c>
      <c r="Q825" s="257">
        <v>98.89</v>
      </c>
    </row>
    <row r="826" spans="1:17" s="12" customFormat="1">
      <c r="A826" s="8" t="s">
        <v>337</v>
      </c>
      <c r="B826" s="10" t="s">
        <v>506</v>
      </c>
      <c r="C826" s="10" t="s">
        <v>16</v>
      </c>
      <c r="D826" s="10" t="s">
        <v>54</v>
      </c>
      <c r="E826" s="10" t="s">
        <v>155</v>
      </c>
      <c r="F826" s="41" t="s">
        <v>331</v>
      </c>
      <c r="G826" s="11">
        <v>0</v>
      </c>
      <c r="H826" s="31">
        <v>5000</v>
      </c>
      <c r="I826" s="7"/>
      <c r="J826" s="7">
        <f>H826+I826</f>
        <v>5000</v>
      </c>
      <c r="K826" s="7"/>
      <c r="L826" s="7">
        <f>J826+K826</f>
        <v>5000</v>
      </c>
      <c r="M826" s="7"/>
      <c r="N826" s="7">
        <v>5000</v>
      </c>
      <c r="O826" s="7">
        <v>4567.2</v>
      </c>
      <c r="P826" s="349">
        <v>4516.7</v>
      </c>
      <c r="Q826" s="257">
        <v>98.89</v>
      </c>
    </row>
    <row r="827" spans="1:17" s="12" customFormat="1">
      <c r="A827" s="8" t="s">
        <v>363</v>
      </c>
      <c r="B827" s="10" t="s">
        <v>506</v>
      </c>
      <c r="C827" s="10" t="s">
        <v>16</v>
      </c>
      <c r="D827" s="10" t="s">
        <v>54</v>
      </c>
      <c r="E827" s="10" t="s">
        <v>364</v>
      </c>
      <c r="F827" s="41"/>
      <c r="G827" s="11">
        <v>100452.1</v>
      </c>
      <c r="H827" s="11">
        <v>100452.1</v>
      </c>
      <c r="I827" s="7" t="e">
        <f>I828+#REF!+#REF!</f>
        <v>#REF!</v>
      </c>
      <c r="J827" s="7" t="e">
        <f>J828+#REF!+#REF!</f>
        <v>#REF!</v>
      </c>
      <c r="K827" s="7" t="e">
        <f>K828+#REF!+#REF!+K830</f>
        <v>#REF!</v>
      </c>
      <c r="L827" s="7" t="e">
        <f>L828+#REF!+#REF!+L830</f>
        <v>#REF!</v>
      </c>
      <c r="M827" s="7" t="e">
        <f>M828+#REF!+#REF!+M830</f>
        <v>#REF!</v>
      </c>
      <c r="N827" s="7">
        <v>67141.5</v>
      </c>
      <c r="O827" s="7">
        <v>67141.3</v>
      </c>
      <c r="P827" s="349">
        <v>11533.7</v>
      </c>
      <c r="Q827" s="257">
        <v>17.18</v>
      </c>
    </row>
    <row r="828" spans="1:17" s="12" customFormat="1" ht="47.25">
      <c r="A828" s="8" t="s">
        <v>644</v>
      </c>
      <c r="B828" s="10" t="s">
        <v>506</v>
      </c>
      <c r="C828" s="10" t="s">
        <v>16</v>
      </c>
      <c r="D828" s="10" t="s">
        <v>54</v>
      </c>
      <c r="E828" s="10" t="s">
        <v>431</v>
      </c>
      <c r="F828" s="41"/>
      <c r="G828" s="11">
        <v>100152.1</v>
      </c>
      <c r="H828" s="11">
        <v>100152.1</v>
      </c>
      <c r="I828" s="7">
        <f t="shared" ref="I828:M828" si="328">I829</f>
        <v>-39677.4</v>
      </c>
      <c r="J828" s="7">
        <f t="shared" si="328"/>
        <v>60474.7</v>
      </c>
      <c r="K828" s="7">
        <f t="shared" si="328"/>
        <v>47769.8</v>
      </c>
      <c r="L828" s="7">
        <f t="shared" si="328"/>
        <v>108244.5</v>
      </c>
      <c r="M828" s="7">
        <f t="shared" si="328"/>
        <v>-41403</v>
      </c>
      <c r="N828" s="7">
        <v>66841.5</v>
      </c>
      <c r="O828" s="7">
        <v>66841.3</v>
      </c>
      <c r="P828" s="349">
        <v>11233.7</v>
      </c>
      <c r="Q828" s="257">
        <v>16.809999999999999</v>
      </c>
    </row>
    <row r="829" spans="1:17" s="12" customFormat="1" ht="78.75">
      <c r="A829" s="8" t="s">
        <v>428</v>
      </c>
      <c r="B829" s="10" t="s">
        <v>506</v>
      </c>
      <c r="C829" s="10" t="s">
        <v>16</v>
      </c>
      <c r="D829" s="10" t="s">
        <v>54</v>
      </c>
      <c r="E829" s="10" t="s">
        <v>431</v>
      </c>
      <c r="F829" s="10" t="s">
        <v>427</v>
      </c>
      <c r="G829" s="11">
        <v>100152.1</v>
      </c>
      <c r="H829" s="31">
        <v>100152.1</v>
      </c>
      <c r="I829" s="7">
        <f>-37659.4+3000-5018</f>
        <v>-39677.4</v>
      </c>
      <c r="J829" s="7">
        <f>H829+I829</f>
        <v>60474.7</v>
      </c>
      <c r="K829" s="7">
        <f>-230.3+48000+0.1</f>
        <v>47769.8</v>
      </c>
      <c r="L829" s="7">
        <f>J829+K829</f>
        <v>108244.5</v>
      </c>
      <c r="M829" s="7">
        <f>3982.6+3000-6982.6-28300+15-307-11-1000-2000-2400-200-5000-2200</f>
        <v>-41403</v>
      </c>
      <c r="N829" s="7">
        <v>66841.5</v>
      </c>
      <c r="O829" s="7">
        <v>66841.3</v>
      </c>
      <c r="P829" s="349">
        <v>11233.7</v>
      </c>
      <c r="Q829" s="257">
        <v>16.809999999999999</v>
      </c>
    </row>
    <row r="830" spans="1:17" s="12" customFormat="1" ht="31.5">
      <c r="A830" s="8" t="s">
        <v>940</v>
      </c>
      <c r="B830" s="10" t="s">
        <v>506</v>
      </c>
      <c r="C830" s="10" t="s">
        <v>16</v>
      </c>
      <c r="D830" s="10" t="s">
        <v>54</v>
      </c>
      <c r="E830" s="10" t="s">
        <v>939</v>
      </c>
      <c r="F830" s="10"/>
      <c r="G830" s="11"/>
      <c r="H830" s="31"/>
      <c r="I830" s="7"/>
      <c r="J830" s="7"/>
      <c r="K830" s="7">
        <f t="shared" ref="K830:M830" si="329">K831</f>
        <v>300</v>
      </c>
      <c r="L830" s="7">
        <f t="shared" si="329"/>
        <v>300</v>
      </c>
      <c r="M830" s="7">
        <f t="shared" si="329"/>
        <v>0</v>
      </c>
      <c r="N830" s="7">
        <v>300</v>
      </c>
      <c r="O830" s="7">
        <v>300</v>
      </c>
      <c r="P830" s="349">
        <v>300</v>
      </c>
      <c r="Q830" s="257">
        <v>100</v>
      </c>
    </row>
    <row r="831" spans="1:17" s="12" customFormat="1">
      <c r="A831" s="8" t="s">
        <v>362</v>
      </c>
      <c r="B831" s="10" t="s">
        <v>506</v>
      </c>
      <c r="C831" s="10" t="s">
        <v>16</v>
      </c>
      <c r="D831" s="10" t="s">
        <v>54</v>
      </c>
      <c r="E831" s="10" t="s">
        <v>939</v>
      </c>
      <c r="F831" s="10" t="s">
        <v>334</v>
      </c>
      <c r="G831" s="11"/>
      <c r="H831" s="31"/>
      <c r="I831" s="7"/>
      <c r="J831" s="7"/>
      <c r="K831" s="7">
        <v>300</v>
      </c>
      <c r="L831" s="7">
        <f>J831+K831</f>
        <v>300</v>
      </c>
      <c r="M831" s="7"/>
      <c r="N831" s="7">
        <v>300</v>
      </c>
      <c r="O831" s="7">
        <v>300</v>
      </c>
      <c r="P831" s="349">
        <v>300</v>
      </c>
      <c r="Q831" s="257">
        <v>100</v>
      </c>
    </row>
    <row r="832" spans="1:17" s="30" customFormat="1">
      <c r="A832" s="26" t="s">
        <v>156</v>
      </c>
      <c r="B832" s="27" t="s">
        <v>506</v>
      </c>
      <c r="C832" s="27" t="s">
        <v>11</v>
      </c>
      <c r="D832" s="27"/>
      <c r="E832" s="27"/>
      <c r="F832" s="27"/>
      <c r="G832" s="28">
        <v>-27185.200000000001</v>
      </c>
      <c r="H832" s="28">
        <v>135010.29999999999</v>
      </c>
      <c r="I832" s="29" t="e">
        <f>I833+#REF!</f>
        <v>#REF!</v>
      </c>
      <c r="J832" s="29" t="e">
        <f>J833+#REF!</f>
        <v>#REF!</v>
      </c>
      <c r="K832" s="29" t="e">
        <f>K833+#REF!</f>
        <v>#REF!</v>
      </c>
      <c r="L832" s="29" t="e">
        <f>L833+#REF!</f>
        <v>#REF!</v>
      </c>
      <c r="M832" s="29" t="e">
        <f>M833+#REF!</f>
        <v>#REF!</v>
      </c>
      <c r="N832" s="29">
        <v>62010.3</v>
      </c>
      <c r="O832" s="29">
        <v>62443</v>
      </c>
      <c r="P832" s="348">
        <v>61381.8</v>
      </c>
      <c r="Q832" s="256">
        <v>98.3</v>
      </c>
    </row>
    <row r="833" spans="1:17" s="30" customFormat="1">
      <c r="A833" s="26" t="s">
        <v>157</v>
      </c>
      <c r="B833" s="27" t="s">
        <v>506</v>
      </c>
      <c r="C833" s="27" t="s">
        <v>11</v>
      </c>
      <c r="D833" s="27" t="s">
        <v>140</v>
      </c>
      <c r="E833" s="27"/>
      <c r="F833" s="27"/>
      <c r="G833" s="28">
        <v>-185.2</v>
      </c>
      <c r="H833" s="28">
        <v>62010.3</v>
      </c>
      <c r="I833" s="29">
        <f>I837</f>
        <v>0</v>
      </c>
      <c r="J833" s="29">
        <f>J837</f>
        <v>62010.3</v>
      </c>
      <c r="K833" s="29">
        <f>K837</f>
        <v>0</v>
      </c>
      <c r="L833" s="29">
        <f>L837</f>
        <v>62010.3</v>
      </c>
      <c r="M833" s="29">
        <f>M837</f>
        <v>0</v>
      </c>
      <c r="N833" s="29">
        <v>62010.3</v>
      </c>
      <c r="O833" s="29">
        <v>62443</v>
      </c>
      <c r="P833" s="348">
        <v>61381.8</v>
      </c>
      <c r="Q833" s="256">
        <v>98.3</v>
      </c>
    </row>
    <row r="834" spans="1:17" s="12" customFormat="1">
      <c r="A834" s="8" t="s">
        <v>17</v>
      </c>
      <c r="B834" s="10" t="s">
        <v>506</v>
      </c>
      <c r="C834" s="10" t="s">
        <v>11</v>
      </c>
      <c r="D834" s="10" t="s">
        <v>140</v>
      </c>
      <c r="E834" s="10" t="s">
        <v>18</v>
      </c>
      <c r="F834" s="10"/>
      <c r="G834" s="11"/>
      <c r="H834" s="11"/>
      <c r="I834" s="7"/>
      <c r="J834" s="7"/>
      <c r="K834" s="7"/>
      <c r="L834" s="7"/>
      <c r="M834" s="7"/>
      <c r="N834" s="7">
        <v>0</v>
      </c>
      <c r="O834" s="7">
        <v>432.7</v>
      </c>
      <c r="P834" s="349">
        <v>432.7</v>
      </c>
      <c r="Q834" s="257">
        <v>100</v>
      </c>
    </row>
    <row r="835" spans="1:17" s="12" customFormat="1" ht="31.5">
      <c r="A835" s="8" t="s">
        <v>536</v>
      </c>
      <c r="B835" s="10" t="s">
        <v>506</v>
      </c>
      <c r="C835" s="10" t="s">
        <v>11</v>
      </c>
      <c r="D835" s="10" t="s">
        <v>140</v>
      </c>
      <c r="E835" s="10" t="s">
        <v>155</v>
      </c>
      <c r="F835" s="10"/>
      <c r="G835" s="11"/>
      <c r="H835" s="11"/>
      <c r="I835" s="7"/>
      <c r="J835" s="7"/>
      <c r="K835" s="7"/>
      <c r="L835" s="7"/>
      <c r="M835" s="7"/>
      <c r="N835" s="7">
        <v>0</v>
      </c>
      <c r="O835" s="7">
        <v>432.7</v>
      </c>
      <c r="P835" s="349">
        <v>432.7</v>
      </c>
      <c r="Q835" s="257">
        <v>100</v>
      </c>
    </row>
    <row r="836" spans="1:17" s="12" customFormat="1">
      <c r="A836" s="8" t="s">
        <v>373</v>
      </c>
      <c r="B836" s="10" t="s">
        <v>506</v>
      </c>
      <c r="C836" s="10" t="s">
        <v>11</v>
      </c>
      <c r="D836" s="10" t="s">
        <v>140</v>
      </c>
      <c r="E836" s="10" t="s">
        <v>155</v>
      </c>
      <c r="F836" s="10" t="s">
        <v>372</v>
      </c>
      <c r="G836" s="11"/>
      <c r="H836" s="11"/>
      <c r="I836" s="7"/>
      <c r="J836" s="7"/>
      <c r="K836" s="7"/>
      <c r="L836" s="7"/>
      <c r="M836" s="7"/>
      <c r="N836" s="7">
        <v>0</v>
      </c>
      <c r="O836" s="7">
        <v>432.7</v>
      </c>
      <c r="P836" s="349">
        <v>432.7</v>
      </c>
      <c r="Q836" s="257">
        <v>100</v>
      </c>
    </row>
    <row r="837" spans="1:17" s="12" customFormat="1">
      <c r="A837" s="8" t="s">
        <v>363</v>
      </c>
      <c r="B837" s="10" t="s">
        <v>506</v>
      </c>
      <c r="C837" s="10" t="s">
        <v>11</v>
      </c>
      <c r="D837" s="10" t="s">
        <v>140</v>
      </c>
      <c r="E837" s="10" t="s">
        <v>364</v>
      </c>
      <c r="F837" s="10"/>
      <c r="G837" s="11">
        <v>-185.2</v>
      </c>
      <c r="H837" s="11">
        <v>62010.3</v>
      </c>
      <c r="I837" s="7">
        <f t="shared" ref="I837:M837" si="330">I838</f>
        <v>0</v>
      </c>
      <c r="J837" s="7">
        <f t="shared" si="330"/>
        <v>62010.3</v>
      </c>
      <c r="K837" s="7">
        <f t="shared" si="330"/>
        <v>0</v>
      </c>
      <c r="L837" s="7">
        <f t="shared" si="330"/>
        <v>62010.3</v>
      </c>
      <c r="M837" s="7">
        <f t="shared" si="330"/>
        <v>0</v>
      </c>
      <c r="N837" s="7">
        <v>62010.3</v>
      </c>
      <c r="O837" s="7">
        <v>62010.3</v>
      </c>
      <c r="P837" s="349">
        <v>60949.1</v>
      </c>
      <c r="Q837" s="257">
        <v>98.29</v>
      </c>
    </row>
    <row r="838" spans="1:17" s="12" customFormat="1" ht="47.25">
      <c r="A838" s="8" t="s">
        <v>644</v>
      </c>
      <c r="B838" s="10" t="s">
        <v>506</v>
      </c>
      <c r="C838" s="10" t="s">
        <v>11</v>
      </c>
      <c r="D838" s="10" t="s">
        <v>140</v>
      </c>
      <c r="E838" s="10" t="s">
        <v>431</v>
      </c>
      <c r="F838" s="10"/>
      <c r="G838" s="11">
        <v>-185.2</v>
      </c>
      <c r="H838" s="11">
        <v>62010.3</v>
      </c>
      <c r="I838" s="7">
        <f t="shared" ref="I838:M838" si="331">I839+I840</f>
        <v>0</v>
      </c>
      <c r="J838" s="7">
        <f t="shared" si="331"/>
        <v>62010.3</v>
      </c>
      <c r="K838" s="7">
        <f t="shared" si="331"/>
        <v>0</v>
      </c>
      <c r="L838" s="7">
        <f t="shared" si="331"/>
        <v>62010.3</v>
      </c>
      <c r="M838" s="7">
        <f t="shared" si="331"/>
        <v>0</v>
      </c>
      <c r="N838" s="7">
        <v>62010.3</v>
      </c>
      <c r="O838" s="7">
        <v>62010.3</v>
      </c>
      <c r="P838" s="349">
        <v>60949.1</v>
      </c>
      <c r="Q838" s="257">
        <v>98.29</v>
      </c>
    </row>
    <row r="839" spans="1:17" s="12" customFormat="1" ht="47.25">
      <c r="A839" s="8" t="s">
        <v>360</v>
      </c>
      <c r="B839" s="10" t="s">
        <v>506</v>
      </c>
      <c r="C839" s="10" t="s">
        <v>11</v>
      </c>
      <c r="D839" s="10" t="s">
        <v>140</v>
      </c>
      <c r="E839" s="10" t="s">
        <v>431</v>
      </c>
      <c r="F839" s="10" t="s">
        <v>359</v>
      </c>
      <c r="G839" s="11">
        <v>684</v>
      </c>
      <c r="H839" s="31">
        <v>8985.7999999999993</v>
      </c>
      <c r="I839" s="7"/>
      <c r="J839" s="7">
        <f>H839+I839</f>
        <v>8985.7999999999993</v>
      </c>
      <c r="K839" s="7"/>
      <c r="L839" s="7">
        <f>J839+K839</f>
        <v>8985.7999999999993</v>
      </c>
      <c r="M839" s="7"/>
      <c r="N839" s="7">
        <v>8985.7999999999993</v>
      </c>
      <c r="O839" s="7">
        <v>8985.7999999999993</v>
      </c>
      <c r="P839" s="349">
        <v>8985.7999999999993</v>
      </c>
      <c r="Q839" s="257">
        <v>100</v>
      </c>
    </row>
    <row r="840" spans="1:17" s="12" customFormat="1">
      <c r="A840" s="8" t="s">
        <v>373</v>
      </c>
      <c r="B840" s="10" t="s">
        <v>506</v>
      </c>
      <c r="C840" s="10" t="s">
        <v>11</v>
      </c>
      <c r="D840" s="10" t="s">
        <v>140</v>
      </c>
      <c r="E840" s="10" t="s">
        <v>431</v>
      </c>
      <c r="F840" s="10" t="s">
        <v>372</v>
      </c>
      <c r="G840" s="11">
        <v>-869.2</v>
      </c>
      <c r="H840" s="31">
        <v>53024.5</v>
      </c>
      <c r="I840" s="7"/>
      <c r="J840" s="7">
        <f>H840+I840</f>
        <v>53024.5</v>
      </c>
      <c r="K840" s="7"/>
      <c r="L840" s="7">
        <f>J840+K840</f>
        <v>53024.5</v>
      </c>
      <c r="M840" s="7"/>
      <c r="N840" s="7">
        <v>53024.5</v>
      </c>
      <c r="O840" s="7">
        <v>53024.5</v>
      </c>
      <c r="P840" s="349">
        <v>51963.3</v>
      </c>
      <c r="Q840" s="257">
        <v>98</v>
      </c>
    </row>
    <row r="841" spans="1:17" s="30" customFormat="1">
      <c r="A841" s="26" t="s">
        <v>8</v>
      </c>
      <c r="B841" s="27" t="s">
        <v>506</v>
      </c>
      <c r="C841" s="27" t="s">
        <v>9</v>
      </c>
      <c r="D841" s="27"/>
      <c r="E841" s="27"/>
      <c r="F841" s="27"/>
      <c r="G841" s="28">
        <v>185110.39999999999</v>
      </c>
      <c r="H841" s="28">
        <v>185512.5</v>
      </c>
      <c r="I841" s="29" t="e">
        <f>I842+I845</f>
        <v>#REF!</v>
      </c>
      <c r="J841" s="29" t="e">
        <f>J842+J845</f>
        <v>#REF!</v>
      </c>
      <c r="K841" s="29" t="e">
        <f>K842+K845</f>
        <v>#REF!</v>
      </c>
      <c r="L841" s="29" t="e">
        <f>L842+L845</f>
        <v>#REF!</v>
      </c>
      <c r="M841" s="29" t="e">
        <f>M842+M845</f>
        <v>#REF!</v>
      </c>
      <c r="N841" s="29">
        <v>59869.4</v>
      </c>
      <c r="O841" s="29">
        <v>59869.4</v>
      </c>
      <c r="P841" s="348">
        <v>265.8</v>
      </c>
      <c r="Q841" s="256">
        <v>0.44</v>
      </c>
    </row>
    <row r="842" spans="1:17" s="30" customFormat="1">
      <c r="A842" s="26" t="s">
        <v>73</v>
      </c>
      <c r="B842" s="27" t="s">
        <v>506</v>
      </c>
      <c r="C842" s="27" t="s">
        <v>9</v>
      </c>
      <c r="D842" s="27" t="s">
        <v>26</v>
      </c>
      <c r="E842" s="27"/>
      <c r="F842" s="27"/>
      <c r="G842" s="28">
        <v>185110.39999999999</v>
      </c>
      <c r="H842" s="28">
        <v>185110.39999999999</v>
      </c>
      <c r="I842" s="29" t="e">
        <f>#REF!</f>
        <v>#REF!</v>
      </c>
      <c r="J842" s="29" t="e">
        <f>#REF!</f>
        <v>#REF!</v>
      </c>
      <c r="K842" s="29" t="e">
        <f>#REF!+K843</f>
        <v>#REF!</v>
      </c>
      <c r="L842" s="29" t="e">
        <f>#REF!+L843</f>
        <v>#REF!</v>
      </c>
      <c r="M842" s="29" t="e">
        <f>#REF!+M843</f>
        <v>#REF!</v>
      </c>
      <c r="N842" s="29">
        <v>59600</v>
      </c>
      <c r="O842" s="29">
        <v>59600</v>
      </c>
      <c r="P842" s="348">
        <v>0</v>
      </c>
      <c r="Q842" s="256">
        <v>0</v>
      </c>
    </row>
    <row r="843" spans="1:17" s="30" customFormat="1" ht="31.5">
      <c r="A843" s="8" t="s">
        <v>754</v>
      </c>
      <c r="B843" s="10" t="s">
        <v>506</v>
      </c>
      <c r="C843" s="10" t="s">
        <v>9</v>
      </c>
      <c r="D843" s="10" t="s">
        <v>26</v>
      </c>
      <c r="E843" s="10" t="s">
        <v>918</v>
      </c>
      <c r="F843" s="10"/>
      <c r="G843" s="28"/>
      <c r="H843" s="28"/>
      <c r="I843" s="29"/>
      <c r="J843" s="7"/>
      <c r="K843" s="7">
        <f t="shared" ref="K843:M843" si="332">K844</f>
        <v>94668.6</v>
      </c>
      <c r="L843" s="7">
        <f t="shared" si="332"/>
        <v>94668.6</v>
      </c>
      <c r="M843" s="7">
        <f t="shared" si="332"/>
        <v>-35068.6</v>
      </c>
      <c r="N843" s="7">
        <v>59600</v>
      </c>
      <c r="O843" s="7">
        <v>59600</v>
      </c>
      <c r="P843" s="349">
        <v>0</v>
      </c>
      <c r="Q843" s="257">
        <v>0</v>
      </c>
    </row>
    <row r="844" spans="1:17" s="30" customFormat="1">
      <c r="A844" s="8" t="s">
        <v>337</v>
      </c>
      <c r="B844" s="10" t="s">
        <v>506</v>
      </c>
      <c r="C844" s="10" t="s">
        <v>9</v>
      </c>
      <c r="D844" s="10" t="s">
        <v>26</v>
      </c>
      <c r="E844" s="10" t="s">
        <v>918</v>
      </c>
      <c r="F844" s="10" t="s">
        <v>347</v>
      </c>
      <c r="G844" s="28"/>
      <c r="H844" s="28"/>
      <c r="I844" s="29"/>
      <c r="J844" s="7"/>
      <c r="K844" s="7">
        <f>185110.4+13841.2-4572.3-29258.6-6928.1-13158-47766.3-10600-173.1+6764.8-100+2958.6-250-1200</f>
        <v>94668.6</v>
      </c>
      <c r="L844" s="7">
        <f>K844+J844</f>
        <v>94668.6</v>
      </c>
      <c r="M844" s="7">
        <f>270.2-17023.4-18315.4</f>
        <v>-35068.6</v>
      </c>
      <c r="N844" s="7">
        <v>59600</v>
      </c>
      <c r="O844" s="7">
        <v>59600</v>
      </c>
      <c r="P844" s="349">
        <v>0</v>
      </c>
      <c r="Q844" s="257">
        <v>0</v>
      </c>
    </row>
    <row r="845" spans="1:17" s="30" customFormat="1" ht="31.5">
      <c r="A845" s="26" t="s">
        <v>75</v>
      </c>
      <c r="B845" s="27" t="s">
        <v>506</v>
      </c>
      <c r="C845" s="27" t="s">
        <v>9</v>
      </c>
      <c r="D845" s="27" t="s">
        <v>31</v>
      </c>
      <c r="E845" s="27"/>
      <c r="F845" s="27"/>
      <c r="G845" s="28">
        <v>0</v>
      </c>
      <c r="H845" s="28">
        <v>402.1</v>
      </c>
      <c r="I845" s="29">
        <f t="shared" ref="I845:M846" si="333">I846</f>
        <v>0</v>
      </c>
      <c r="J845" s="29">
        <f t="shared" si="333"/>
        <v>402.1</v>
      </c>
      <c r="K845" s="29">
        <f t="shared" si="333"/>
        <v>0</v>
      </c>
      <c r="L845" s="29">
        <f t="shared" si="333"/>
        <v>402.1</v>
      </c>
      <c r="M845" s="29">
        <f t="shared" si="333"/>
        <v>-132.69999999999999</v>
      </c>
      <c r="N845" s="29">
        <v>269.39999999999998</v>
      </c>
      <c r="O845" s="29">
        <v>269.39999999999998</v>
      </c>
      <c r="P845" s="348">
        <v>265.8</v>
      </c>
      <c r="Q845" s="256">
        <v>98.66</v>
      </c>
    </row>
    <row r="846" spans="1:17" s="12" customFormat="1">
      <c r="A846" s="8" t="s">
        <v>343</v>
      </c>
      <c r="B846" s="10" t="s">
        <v>506</v>
      </c>
      <c r="C846" s="10" t="s">
        <v>9</v>
      </c>
      <c r="D846" s="10" t="s">
        <v>31</v>
      </c>
      <c r="E846" s="10" t="s">
        <v>342</v>
      </c>
      <c r="F846" s="10"/>
      <c r="G846" s="11">
        <v>0</v>
      </c>
      <c r="H846" s="11">
        <v>402.1</v>
      </c>
      <c r="I846" s="7">
        <f t="shared" si="333"/>
        <v>0</v>
      </c>
      <c r="J846" s="7">
        <f t="shared" si="333"/>
        <v>402.1</v>
      </c>
      <c r="K846" s="7">
        <f t="shared" si="333"/>
        <v>0</v>
      </c>
      <c r="L846" s="7">
        <f t="shared" si="333"/>
        <v>402.1</v>
      </c>
      <c r="M846" s="7">
        <f t="shared" si="333"/>
        <v>-132.69999999999999</v>
      </c>
      <c r="N846" s="7">
        <v>269.39999999999998</v>
      </c>
      <c r="O846" s="7">
        <v>269.39999999999998</v>
      </c>
      <c r="P846" s="349">
        <v>265.8</v>
      </c>
      <c r="Q846" s="257">
        <v>98.66</v>
      </c>
    </row>
    <row r="847" spans="1:17" s="12" customFormat="1" ht="31.5">
      <c r="A847" s="8" t="s">
        <v>471</v>
      </c>
      <c r="B847" s="10" t="s">
        <v>506</v>
      </c>
      <c r="C847" s="10" t="s">
        <v>9</v>
      </c>
      <c r="D847" s="10" t="s">
        <v>31</v>
      </c>
      <c r="E847" s="10" t="s">
        <v>344</v>
      </c>
      <c r="F847" s="10"/>
      <c r="G847" s="11">
        <v>0</v>
      </c>
      <c r="H847" s="11">
        <v>402.1</v>
      </c>
      <c r="I847" s="7">
        <f t="shared" ref="I847:M847" si="334">I848+I849</f>
        <v>0</v>
      </c>
      <c r="J847" s="7">
        <f t="shared" si="334"/>
        <v>402.1</v>
      </c>
      <c r="K847" s="7">
        <f t="shared" si="334"/>
        <v>0</v>
      </c>
      <c r="L847" s="7">
        <f t="shared" si="334"/>
        <v>402.1</v>
      </c>
      <c r="M847" s="7">
        <f t="shared" si="334"/>
        <v>-132.69999999999999</v>
      </c>
      <c r="N847" s="7">
        <v>269.39999999999998</v>
      </c>
      <c r="O847" s="7">
        <v>269.39999999999998</v>
      </c>
      <c r="P847" s="349">
        <v>265.8</v>
      </c>
      <c r="Q847" s="257">
        <v>98.66</v>
      </c>
    </row>
    <row r="848" spans="1:17" s="12" customFormat="1">
      <c r="A848" s="8" t="s">
        <v>356</v>
      </c>
      <c r="B848" s="10" t="s">
        <v>506</v>
      </c>
      <c r="C848" s="10" t="s">
        <v>9</v>
      </c>
      <c r="D848" s="10" t="s">
        <v>31</v>
      </c>
      <c r="E848" s="10" t="s">
        <v>344</v>
      </c>
      <c r="F848" s="10" t="s">
        <v>332</v>
      </c>
      <c r="G848" s="11">
        <v>-125</v>
      </c>
      <c r="H848" s="31">
        <v>277.10000000000002</v>
      </c>
      <c r="I848" s="7"/>
      <c r="J848" s="7">
        <f>H848+I848</f>
        <v>277.10000000000002</v>
      </c>
      <c r="K848" s="7">
        <v>-90</v>
      </c>
      <c r="L848" s="7">
        <f>J848+K848</f>
        <v>187.1</v>
      </c>
      <c r="M848" s="7">
        <v>-97.7</v>
      </c>
      <c r="N848" s="7">
        <v>89.4</v>
      </c>
      <c r="O848" s="7">
        <v>89.4</v>
      </c>
      <c r="P848" s="349">
        <v>85.8</v>
      </c>
      <c r="Q848" s="257">
        <v>95.97</v>
      </c>
    </row>
    <row r="849" spans="1:17" s="12" customFormat="1">
      <c r="A849" s="8" t="s">
        <v>362</v>
      </c>
      <c r="B849" s="10" t="s">
        <v>506</v>
      </c>
      <c r="C849" s="10" t="s">
        <v>9</v>
      </c>
      <c r="D849" s="10" t="s">
        <v>31</v>
      </c>
      <c r="E849" s="10" t="s">
        <v>344</v>
      </c>
      <c r="F849" s="10" t="s">
        <v>334</v>
      </c>
      <c r="G849" s="11">
        <v>125</v>
      </c>
      <c r="H849" s="31">
        <v>125</v>
      </c>
      <c r="I849" s="7"/>
      <c r="J849" s="7">
        <f>H849+I849</f>
        <v>125</v>
      </c>
      <c r="K849" s="7">
        <v>90</v>
      </c>
      <c r="L849" s="7">
        <f>J849+K849</f>
        <v>215</v>
      </c>
      <c r="M849" s="7">
        <v>-35</v>
      </c>
      <c r="N849" s="7">
        <v>180</v>
      </c>
      <c r="O849" s="7">
        <v>180</v>
      </c>
      <c r="P849" s="349">
        <v>180</v>
      </c>
      <c r="Q849" s="257">
        <v>100</v>
      </c>
    </row>
    <row r="850" spans="1:17" s="30" customFormat="1" ht="31.5">
      <c r="A850" s="26" t="s">
        <v>453</v>
      </c>
      <c r="B850" s="27" t="s">
        <v>506</v>
      </c>
      <c r="C850" s="27" t="s">
        <v>56</v>
      </c>
      <c r="D850" s="27"/>
      <c r="E850" s="27"/>
      <c r="F850" s="27"/>
      <c r="G850" s="28">
        <v>15141</v>
      </c>
      <c r="H850" s="60">
        <v>15141</v>
      </c>
      <c r="I850" s="29" t="e">
        <f t="shared" ref="I850:M850" si="335">I851</f>
        <v>#REF!</v>
      </c>
      <c r="J850" s="29" t="e">
        <f t="shared" si="335"/>
        <v>#REF!</v>
      </c>
      <c r="K850" s="29" t="e">
        <f t="shared" si="335"/>
        <v>#REF!</v>
      </c>
      <c r="L850" s="29" t="e">
        <f t="shared" si="335"/>
        <v>#REF!</v>
      </c>
      <c r="M850" s="29" t="e">
        <f t="shared" si="335"/>
        <v>#REF!</v>
      </c>
      <c r="N850" s="29">
        <v>15141</v>
      </c>
      <c r="O850" s="29">
        <v>15141</v>
      </c>
      <c r="P850" s="348">
        <v>0</v>
      </c>
      <c r="Q850" s="256">
        <v>0</v>
      </c>
    </row>
    <row r="851" spans="1:17" s="30" customFormat="1" ht="31.5">
      <c r="A851" s="26" t="s">
        <v>689</v>
      </c>
      <c r="B851" s="27" t="s">
        <v>506</v>
      </c>
      <c r="C851" s="27" t="s">
        <v>56</v>
      </c>
      <c r="D851" s="27" t="s">
        <v>16</v>
      </c>
      <c r="E851" s="27"/>
      <c r="F851" s="27"/>
      <c r="G851" s="28">
        <v>15141</v>
      </c>
      <c r="H851" s="60">
        <v>15141</v>
      </c>
      <c r="I851" s="29" t="e">
        <f>#REF!</f>
        <v>#REF!</v>
      </c>
      <c r="J851" s="29" t="e">
        <f>#REF!</f>
        <v>#REF!</v>
      </c>
      <c r="K851" s="29" t="e">
        <f>#REF!+K852</f>
        <v>#REF!</v>
      </c>
      <c r="L851" s="29" t="e">
        <f>#REF!+L852</f>
        <v>#REF!</v>
      </c>
      <c r="M851" s="29" t="e">
        <f>#REF!+M852</f>
        <v>#REF!</v>
      </c>
      <c r="N851" s="29">
        <v>15141</v>
      </c>
      <c r="O851" s="29">
        <v>15141</v>
      </c>
      <c r="P851" s="348">
        <v>0</v>
      </c>
      <c r="Q851" s="256">
        <v>0</v>
      </c>
    </row>
    <row r="852" spans="1:17" s="30" customFormat="1" ht="31.5">
      <c r="A852" s="8" t="s">
        <v>754</v>
      </c>
      <c r="B852" s="10" t="s">
        <v>506</v>
      </c>
      <c r="C852" s="10" t="s">
        <v>56</v>
      </c>
      <c r="D852" s="10" t="s">
        <v>16</v>
      </c>
      <c r="E852" s="10" t="s">
        <v>918</v>
      </c>
      <c r="F852" s="10"/>
      <c r="G852" s="28"/>
      <c r="H852" s="60"/>
      <c r="I852" s="29"/>
      <c r="J852" s="7"/>
      <c r="K852" s="7">
        <f t="shared" ref="K852:M852" si="336">K853</f>
        <v>15141</v>
      </c>
      <c r="L852" s="7">
        <f t="shared" si="336"/>
        <v>15141</v>
      </c>
      <c r="M852" s="7">
        <f t="shared" si="336"/>
        <v>0</v>
      </c>
      <c r="N852" s="7">
        <v>15141</v>
      </c>
      <c r="O852" s="7">
        <v>15141</v>
      </c>
      <c r="P852" s="349">
        <v>0</v>
      </c>
      <c r="Q852" s="257">
        <v>0</v>
      </c>
    </row>
    <row r="853" spans="1:17" s="30" customFormat="1">
      <c r="A853" s="8" t="s">
        <v>337</v>
      </c>
      <c r="B853" s="10" t="s">
        <v>506</v>
      </c>
      <c r="C853" s="10" t="s">
        <v>56</v>
      </c>
      <c r="D853" s="10" t="s">
        <v>16</v>
      </c>
      <c r="E853" s="10" t="s">
        <v>918</v>
      </c>
      <c r="F853" s="10" t="s">
        <v>347</v>
      </c>
      <c r="G853" s="28"/>
      <c r="H853" s="60"/>
      <c r="I853" s="29"/>
      <c r="J853" s="7"/>
      <c r="K853" s="7">
        <v>15141</v>
      </c>
      <c r="L853" s="7">
        <f>J853+K853</f>
        <v>15141</v>
      </c>
      <c r="M853" s="7"/>
      <c r="N853" s="7">
        <v>15141</v>
      </c>
      <c r="O853" s="7">
        <v>15141</v>
      </c>
      <c r="P853" s="349">
        <v>0</v>
      </c>
      <c r="Q853" s="257">
        <v>0</v>
      </c>
    </row>
    <row r="854" spans="1:17" s="30" customFormat="1">
      <c r="A854" s="26" t="s">
        <v>161</v>
      </c>
      <c r="B854" s="27" t="s">
        <v>506</v>
      </c>
      <c r="C854" s="27" t="s">
        <v>54</v>
      </c>
      <c r="D854" s="27"/>
      <c r="E854" s="27"/>
      <c r="F854" s="27"/>
      <c r="G854" s="28">
        <v>0</v>
      </c>
      <c r="H854" s="28">
        <v>150037.4</v>
      </c>
      <c r="I854" s="29" t="e">
        <f t="shared" ref="I854:M857" si="337">I855</f>
        <v>#REF!</v>
      </c>
      <c r="J854" s="29">
        <f t="shared" si="337"/>
        <v>150037.4</v>
      </c>
      <c r="K854" s="29">
        <f t="shared" si="337"/>
        <v>-48000</v>
      </c>
      <c r="L854" s="29">
        <f t="shared" si="337"/>
        <v>102037.4</v>
      </c>
      <c r="M854" s="29">
        <f t="shared" si="337"/>
        <v>0</v>
      </c>
      <c r="N854" s="29">
        <v>102037.4</v>
      </c>
      <c r="O854" s="29">
        <v>102037.4</v>
      </c>
      <c r="P854" s="348">
        <v>67852.399999999994</v>
      </c>
      <c r="Q854" s="256">
        <v>66.5</v>
      </c>
    </row>
    <row r="855" spans="1:17" s="30" customFormat="1" ht="31.5">
      <c r="A855" s="26" t="s">
        <v>556</v>
      </c>
      <c r="B855" s="27" t="s">
        <v>506</v>
      </c>
      <c r="C855" s="27" t="s">
        <v>54</v>
      </c>
      <c r="D855" s="27" t="s">
        <v>16</v>
      </c>
      <c r="E855" s="27"/>
      <c r="F855" s="27"/>
      <c r="G855" s="28">
        <v>0</v>
      </c>
      <c r="H855" s="28">
        <v>150037.4</v>
      </c>
      <c r="I855" s="29" t="e">
        <f>#REF!+I856</f>
        <v>#REF!</v>
      </c>
      <c r="J855" s="29">
        <f t="shared" si="337"/>
        <v>150037.4</v>
      </c>
      <c r="K855" s="29">
        <f t="shared" si="337"/>
        <v>-48000</v>
      </c>
      <c r="L855" s="29">
        <f t="shared" si="337"/>
        <v>102037.4</v>
      </c>
      <c r="M855" s="29">
        <f t="shared" si="337"/>
        <v>0</v>
      </c>
      <c r="N855" s="29">
        <v>102037.4</v>
      </c>
      <c r="O855" s="29">
        <v>102037.4</v>
      </c>
      <c r="P855" s="348">
        <v>67852.399999999994</v>
      </c>
      <c r="Q855" s="256">
        <v>66.5</v>
      </c>
    </row>
    <row r="856" spans="1:17" s="12" customFormat="1">
      <c r="A856" s="8" t="s">
        <v>363</v>
      </c>
      <c r="B856" s="10" t="s">
        <v>506</v>
      </c>
      <c r="C856" s="10" t="s">
        <v>54</v>
      </c>
      <c r="D856" s="10" t="s">
        <v>16</v>
      </c>
      <c r="E856" s="10" t="s">
        <v>364</v>
      </c>
      <c r="F856" s="10"/>
      <c r="G856" s="11">
        <v>150037.4</v>
      </c>
      <c r="H856" s="11">
        <v>150037.4</v>
      </c>
      <c r="I856" s="7">
        <f>I857</f>
        <v>0</v>
      </c>
      <c r="J856" s="7">
        <f t="shared" si="337"/>
        <v>150037.4</v>
      </c>
      <c r="K856" s="7">
        <f t="shared" si="337"/>
        <v>-48000</v>
      </c>
      <c r="L856" s="7">
        <f t="shared" si="337"/>
        <v>102037.4</v>
      </c>
      <c r="M856" s="7">
        <f t="shared" si="337"/>
        <v>0</v>
      </c>
      <c r="N856" s="7">
        <v>102037.4</v>
      </c>
      <c r="O856" s="7">
        <v>102037.4</v>
      </c>
      <c r="P856" s="349">
        <v>67852.399999999994</v>
      </c>
      <c r="Q856" s="257">
        <v>66.5</v>
      </c>
    </row>
    <row r="857" spans="1:17" s="12" customFormat="1" ht="47.25">
      <c r="A857" s="8" t="s">
        <v>644</v>
      </c>
      <c r="B857" s="10" t="s">
        <v>506</v>
      </c>
      <c r="C857" s="10" t="s">
        <v>54</v>
      </c>
      <c r="D857" s="10" t="s">
        <v>16</v>
      </c>
      <c r="E857" s="10" t="s">
        <v>431</v>
      </c>
      <c r="F857" s="10"/>
      <c r="G857" s="11">
        <v>150037.4</v>
      </c>
      <c r="H857" s="11">
        <v>150037.4</v>
      </c>
      <c r="I857" s="7">
        <f>I858</f>
        <v>0</v>
      </c>
      <c r="J857" s="7">
        <f t="shared" si="337"/>
        <v>150037.4</v>
      </c>
      <c r="K857" s="7">
        <f t="shared" si="337"/>
        <v>-48000</v>
      </c>
      <c r="L857" s="7">
        <f t="shared" si="337"/>
        <v>102037.4</v>
      </c>
      <c r="M857" s="7">
        <f t="shared" si="337"/>
        <v>0</v>
      </c>
      <c r="N857" s="7">
        <v>102037.4</v>
      </c>
      <c r="O857" s="7">
        <v>102037.4</v>
      </c>
      <c r="P857" s="349">
        <v>67852.399999999994</v>
      </c>
      <c r="Q857" s="257">
        <v>66.5</v>
      </c>
    </row>
    <row r="858" spans="1:17" s="12" customFormat="1" ht="31.5">
      <c r="A858" s="8" t="s">
        <v>430</v>
      </c>
      <c r="B858" s="10" t="s">
        <v>506</v>
      </c>
      <c r="C858" s="10" t="s">
        <v>54</v>
      </c>
      <c r="D858" s="10" t="s">
        <v>16</v>
      </c>
      <c r="E858" s="10" t="s">
        <v>431</v>
      </c>
      <c r="F858" s="10" t="s">
        <v>429</v>
      </c>
      <c r="G858" s="11">
        <v>150037.4</v>
      </c>
      <c r="H858" s="31">
        <v>150037.4</v>
      </c>
      <c r="I858" s="7"/>
      <c r="J858" s="7">
        <f>H858+I858</f>
        <v>150037.4</v>
      </c>
      <c r="K858" s="7">
        <v>-48000</v>
      </c>
      <c r="L858" s="7">
        <f>J858+K858</f>
        <v>102037.4</v>
      </c>
      <c r="M858" s="7"/>
      <c r="N858" s="7">
        <v>102037.4</v>
      </c>
      <c r="O858" s="7">
        <v>102037.4</v>
      </c>
      <c r="P858" s="349">
        <v>67852.399999999994</v>
      </c>
      <c r="Q858" s="257">
        <v>66.5</v>
      </c>
    </row>
    <row r="859" spans="1:17" s="30" customFormat="1">
      <c r="A859" s="26" t="s">
        <v>49</v>
      </c>
      <c r="B859" s="27" t="s">
        <v>506</v>
      </c>
      <c r="C859" s="27"/>
      <c r="D859" s="27"/>
      <c r="E859" s="27"/>
      <c r="F859" s="27"/>
      <c r="G859" s="28">
        <v>-59952.3</v>
      </c>
      <c r="H859" s="28">
        <v>981985.2</v>
      </c>
      <c r="I859" s="29" t="e">
        <f t="shared" ref="I859:M859" si="338">I860+I871+I875</f>
        <v>#REF!</v>
      </c>
      <c r="J859" s="29" t="e">
        <f t="shared" si="338"/>
        <v>#REF!</v>
      </c>
      <c r="K859" s="29" t="e">
        <f t="shared" si="338"/>
        <v>#REF!</v>
      </c>
      <c r="L859" s="29" t="e">
        <f t="shared" si="338"/>
        <v>#REF!</v>
      </c>
      <c r="M859" s="29" t="e">
        <f t="shared" si="338"/>
        <v>#REF!</v>
      </c>
      <c r="N859" s="29">
        <v>1066006.3999999999</v>
      </c>
      <c r="O859" s="29">
        <v>1066006.3999999999</v>
      </c>
      <c r="P859" s="348">
        <v>1065256.8</v>
      </c>
      <c r="Q859" s="256">
        <v>99.93</v>
      </c>
    </row>
    <row r="860" spans="1:17" s="30" customFormat="1">
      <c r="A860" s="26" t="s">
        <v>52</v>
      </c>
      <c r="B860" s="27" t="s">
        <v>506</v>
      </c>
      <c r="C860" s="27" t="s">
        <v>16</v>
      </c>
      <c r="D860" s="27"/>
      <c r="E860" s="27"/>
      <c r="F860" s="27"/>
      <c r="G860" s="28">
        <v>-1046.9000000000001</v>
      </c>
      <c r="H860" s="28">
        <v>13327.7</v>
      </c>
      <c r="I860" s="29">
        <f t="shared" ref="I860:M860" si="339">I861+I865</f>
        <v>1677</v>
      </c>
      <c r="J860" s="29">
        <f t="shared" si="339"/>
        <v>15004.7</v>
      </c>
      <c r="K860" s="29">
        <f t="shared" si="339"/>
        <v>0</v>
      </c>
      <c r="L860" s="29">
        <f t="shared" si="339"/>
        <v>15004.7</v>
      </c>
      <c r="M860" s="29">
        <f t="shared" si="339"/>
        <v>268.89999999999998</v>
      </c>
      <c r="N860" s="29">
        <v>15273.6</v>
      </c>
      <c r="O860" s="29">
        <v>15273.6</v>
      </c>
      <c r="P860" s="348">
        <v>15273.6</v>
      </c>
      <c r="Q860" s="256">
        <v>100</v>
      </c>
    </row>
    <row r="861" spans="1:17" s="30" customFormat="1" ht="47.25">
      <c r="A861" s="26" t="s">
        <v>162</v>
      </c>
      <c r="B861" s="27" t="s">
        <v>506</v>
      </c>
      <c r="C861" s="27" t="s">
        <v>16</v>
      </c>
      <c r="D861" s="27" t="s">
        <v>11</v>
      </c>
      <c r="E861" s="27"/>
      <c r="F861" s="27"/>
      <c r="G861" s="28">
        <v>-1189</v>
      </c>
      <c r="H861" s="28">
        <v>10595</v>
      </c>
      <c r="I861" s="29">
        <f t="shared" ref="I861:M863" si="340">I862</f>
        <v>1677</v>
      </c>
      <c r="J861" s="29">
        <f t="shared" si="340"/>
        <v>12272</v>
      </c>
      <c r="K861" s="29">
        <f t="shared" si="340"/>
        <v>0</v>
      </c>
      <c r="L861" s="29">
        <f t="shared" si="340"/>
        <v>12272</v>
      </c>
      <c r="M861" s="29">
        <f t="shared" si="340"/>
        <v>304.60000000000002</v>
      </c>
      <c r="N861" s="29">
        <v>12576.6</v>
      </c>
      <c r="O861" s="29">
        <v>12576.6</v>
      </c>
      <c r="P861" s="348">
        <v>12576.6</v>
      </c>
      <c r="Q861" s="256">
        <v>100</v>
      </c>
    </row>
    <row r="862" spans="1:17" s="12" customFormat="1">
      <c r="A862" s="8" t="s">
        <v>37</v>
      </c>
      <c r="B862" s="10" t="s">
        <v>506</v>
      </c>
      <c r="C862" s="10" t="s">
        <v>16</v>
      </c>
      <c r="D862" s="10" t="s">
        <v>11</v>
      </c>
      <c r="E862" s="10" t="s">
        <v>38</v>
      </c>
      <c r="F862" s="10"/>
      <c r="G862" s="11">
        <v>-1189</v>
      </c>
      <c r="H862" s="11">
        <v>10595</v>
      </c>
      <c r="I862" s="7">
        <f t="shared" si="340"/>
        <v>1677</v>
      </c>
      <c r="J862" s="7">
        <f t="shared" si="340"/>
        <v>12272</v>
      </c>
      <c r="K862" s="7">
        <f t="shared" si="340"/>
        <v>0</v>
      </c>
      <c r="L862" s="7">
        <f t="shared" si="340"/>
        <v>12272</v>
      </c>
      <c r="M862" s="7">
        <f t="shared" si="340"/>
        <v>304.60000000000002</v>
      </c>
      <c r="N862" s="7">
        <v>12576.6</v>
      </c>
      <c r="O862" s="7">
        <v>12576.6</v>
      </c>
      <c r="P862" s="349">
        <v>12576.6</v>
      </c>
      <c r="Q862" s="257">
        <v>100</v>
      </c>
    </row>
    <row r="863" spans="1:17" s="12" customFormat="1" ht="47.25">
      <c r="A863" s="8" t="s">
        <v>1048</v>
      </c>
      <c r="B863" s="10" t="s">
        <v>506</v>
      </c>
      <c r="C863" s="10" t="s">
        <v>16</v>
      </c>
      <c r="D863" s="10" t="s">
        <v>11</v>
      </c>
      <c r="E863" s="10" t="s">
        <v>163</v>
      </c>
      <c r="F863" s="10"/>
      <c r="G863" s="11">
        <v>-1189</v>
      </c>
      <c r="H863" s="11">
        <v>10595</v>
      </c>
      <c r="I863" s="7">
        <f t="shared" si="340"/>
        <v>1677</v>
      </c>
      <c r="J863" s="7">
        <f t="shared" si="340"/>
        <v>12272</v>
      </c>
      <c r="K863" s="7">
        <f t="shared" si="340"/>
        <v>0</v>
      </c>
      <c r="L863" s="7">
        <f t="shared" si="340"/>
        <v>12272</v>
      </c>
      <c r="M863" s="7">
        <f t="shared" si="340"/>
        <v>304.60000000000002</v>
      </c>
      <c r="N863" s="7">
        <v>12576.6</v>
      </c>
      <c r="O863" s="7">
        <v>12576.6</v>
      </c>
      <c r="P863" s="349">
        <v>12576.6</v>
      </c>
      <c r="Q863" s="257">
        <v>100</v>
      </c>
    </row>
    <row r="864" spans="1:17" s="12" customFormat="1">
      <c r="A864" s="8" t="s">
        <v>435</v>
      </c>
      <c r="B864" s="10" t="s">
        <v>506</v>
      </c>
      <c r="C864" s="10" t="s">
        <v>16</v>
      </c>
      <c r="D864" s="10" t="s">
        <v>11</v>
      </c>
      <c r="E864" s="10" t="s">
        <v>163</v>
      </c>
      <c r="F864" s="10" t="s">
        <v>432</v>
      </c>
      <c r="G864" s="11">
        <v>-1189</v>
      </c>
      <c r="H864" s="31">
        <v>10595</v>
      </c>
      <c r="I864" s="7">
        <f>246+1431</f>
        <v>1677</v>
      </c>
      <c r="J864" s="7">
        <f>H864+I864</f>
        <v>12272</v>
      </c>
      <c r="K864" s="7"/>
      <c r="L864" s="7">
        <f>J864+K864</f>
        <v>12272</v>
      </c>
      <c r="M864" s="7">
        <v>304.60000000000002</v>
      </c>
      <c r="N864" s="7">
        <v>12576.6</v>
      </c>
      <c r="O864" s="7">
        <v>12576.6</v>
      </c>
      <c r="P864" s="349">
        <v>12576.6</v>
      </c>
      <c r="Q864" s="257">
        <v>100</v>
      </c>
    </row>
    <row r="865" spans="1:17" s="30" customFormat="1">
      <c r="A865" s="26" t="s">
        <v>53</v>
      </c>
      <c r="B865" s="27" t="s">
        <v>506</v>
      </c>
      <c r="C865" s="27" t="s">
        <v>16</v>
      </c>
      <c r="D865" s="27" t="s">
        <v>54</v>
      </c>
      <c r="E865" s="27"/>
      <c r="F865" s="27"/>
      <c r="G865" s="28">
        <v>142.1</v>
      </c>
      <c r="H865" s="28">
        <v>2732.7</v>
      </c>
      <c r="I865" s="29">
        <f t="shared" ref="I865:M865" si="341">I866</f>
        <v>0</v>
      </c>
      <c r="J865" s="29">
        <f t="shared" si="341"/>
        <v>2732.7</v>
      </c>
      <c r="K865" s="29">
        <f t="shared" si="341"/>
        <v>0</v>
      </c>
      <c r="L865" s="29">
        <f t="shared" si="341"/>
        <v>2732.7</v>
      </c>
      <c r="M865" s="29">
        <f t="shared" si="341"/>
        <v>-35.700000000000003</v>
      </c>
      <c r="N865" s="29">
        <v>2697</v>
      </c>
      <c r="O865" s="29">
        <v>2697</v>
      </c>
      <c r="P865" s="348">
        <v>2697</v>
      </c>
      <c r="Q865" s="256">
        <v>100</v>
      </c>
    </row>
    <row r="866" spans="1:17" s="12" customFormat="1">
      <c r="A866" s="8" t="s">
        <v>37</v>
      </c>
      <c r="B866" s="10" t="s">
        <v>506</v>
      </c>
      <c r="C866" s="10" t="s">
        <v>16</v>
      </c>
      <c r="D866" s="10" t="s">
        <v>54</v>
      </c>
      <c r="E866" s="10" t="s">
        <v>38</v>
      </c>
      <c r="F866" s="10"/>
      <c r="G866" s="11">
        <v>142.1</v>
      </c>
      <c r="H866" s="11">
        <v>2732.7</v>
      </c>
      <c r="I866" s="7">
        <f t="shared" ref="I866:M866" si="342">I867+I869</f>
        <v>0</v>
      </c>
      <c r="J866" s="7">
        <f t="shared" si="342"/>
        <v>2732.7</v>
      </c>
      <c r="K866" s="7">
        <f t="shared" si="342"/>
        <v>0</v>
      </c>
      <c r="L866" s="7">
        <f t="shared" si="342"/>
        <v>2732.7</v>
      </c>
      <c r="M866" s="7">
        <f t="shared" si="342"/>
        <v>-35.700000000000003</v>
      </c>
      <c r="N866" s="7">
        <v>2697</v>
      </c>
      <c r="O866" s="7">
        <v>2697</v>
      </c>
      <c r="P866" s="349">
        <v>2697</v>
      </c>
      <c r="Q866" s="257">
        <v>100</v>
      </c>
    </row>
    <row r="867" spans="1:17" s="12" customFormat="1" ht="31.5">
      <c r="A867" s="8" t="s">
        <v>462</v>
      </c>
      <c r="B867" s="10" t="s">
        <v>506</v>
      </c>
      <c r="C867" s="10" t="s">
        <v>16</v>
      </c>
      <c r="D867" s="10" t="s">
        <v>54</v>
      </c>
      <c r="E867" s="10" t="s">
        <v>165</v>
      </c>
      <c r="F867" s="10"/>
      <c r="G867" s="11">
        <v>0</v>
      </c>
      <c r="H867" s="11">
        <v>730.7</v>
      </c>
      <c r="I867" s="7">
        <f t="shared" ref="I867:M867" si="343">I868</f>
        <v>0</v>
      </c>
      <c r="J867" s="7">
        <f t="shared" si="343"/>
        <v>730.7</v>
      </c>
      <c r="K867" s="7">
        <f t="shared" si="343"/>
        <v>0</v>
      </c>
      <c r="L867" s="7">
        <f t="shared" si="343"/>
        <v>730.7</v>
      </c>
      <c r="M867" s="7">
        <f t="shared" si="343"/>
        <v>-35.700000000000003</v>
      </c>
      <c r="N867" s="7">
        <v>695</v>
      </c>
      <c r="O867" s="7">
        <v>695</v>
      </c>
      <c r="P867" s="349">
        <v>695</v>
      </c>
      <c r="Q867" s="257">
        <v>100</v>
      </c>
    </row>
    <row r="868" spans="1:17" s="12" customFormat="1">
      <c r="A868" s="8" t="s">
        <v>435</v>
      </c>
      <c r="B868" s="10" t="s">
        <v>506</v>
      </c>
      <c r="C868" s="10" t="s">
        <v>16</v>
      </c>
      <c r="D868" s="10" t="s">
        <v>54</v>
      </c>
      <c r="E868" s="10" t="s">
        <v>165</v>
      </c>
      <c r="F868" s="10" t="s">
        <v>432</v>
      </c>
      <c r="G868" s="11">
        <v>0</v>
      </c>
      <c r="H868" s="31">
        <v>730.7</v>
      </c>
      <c r="I868" s="7"/>
      <c r="J868" s="7">
        <f>H868+I868</f>
        <v>730.7</v>
      </c>
      <c r="K868" s="7"/>
      <c r="L868" s="7">
        <f>J868+K868</f>
        <v>730.7</v>
      </c>
      <c r="M868" s="7">
        <v>-35.700000000000003</v>
      </c>
      <c r="N868" s="7">
        <v>695</v>
      </c>
      <c r="O868" s="7">
        <v>695</v>
      </c>
      <c r="P868" s="349">
        <v>695</v>
      </c>
      <c r="Q868" s="257">
        <v>100</v>
      </c>
    </row>
    <row r="869" spans="1:17" s="21" customFormat="1" ht="63">
      <c r="A869" s="8" t="s">
        <v>433</v>
      </c>
      <c r="B869" s="10" t="s">
        <v>506</v>
      </c>
      <c r="C869" s="10" t="s">
        <v>16</v>
      </c>
      <c r="D869" s="10" t="s">
        <v>54</v>
      </c>
      <c r="E869" s="10" t="s">
        <v>434</v>
      </c>
      <c r="F869" s="10"/>
      <c r="G869" s="11">
        <v>142.1</v>
      </c>
      <c r="H869" s="11">
        <v>2002</v>
      </c>
      <c r="I869" s="7">
        <f t="shared" ref="I869:M869" si="344">I870</f>
        <v>0</v>
      </c>
      <c r="J869" s="7">
        <f t="shared" si="344"/>
        <v>2002</v>
      </c>
      <c r="K869" s="7">
        <f t="shared" si="344"/>
        <v>0</v>
      </c>
      <c r="L869" s="7">
        <f t="shared" si="344"/>
        <v>2002</v>
      </c>
      <c r="M869" s="7">
        <f t="shared" si="344"/>
        <v>0</v>
      </c>
      <c r="N869" s="7">
        <v>2002</v>
      </c>
      <c r="O869" s="7">
        <v>2002</v>
      </c>
      <c r="P869" s="349">
        <v>2002</v>
      </c>
      <c r="Q869" s="257">
        <v>100</v>
      </c>
    </row>
    <row r="870" spans="1:17" s="12" customFormat="1">
      <c r="A870" s="70" t="s">
        <v>435</v>
      </c>
      <c r="B870" s="10" t="s">
        <v>506</v>
      </c>
      <c r="C870" s="10" t="s">
        <v>16</v>
      </c>
      <c r="D870" s="10" t="s">
        <v>54</v>
      </c>
      <c r="E870" s="10" t="s">
        <v>434</v>
      </c>
      <c r="F870" s="10" t="s">
        <v>432</v>
      </c>
      <c r="G870" s="11">
        <v>142.1</v>
      </c>
      <c r="H870" s="31">
        <v>2002</v>
      </c>
      <c r="I870" s="7"/>
      <c r="J870" s="7">
        <f>H870+I870</f>
        <v>2002</v>
      </c>
      <c r="K870" s="7"/>
      <c r="L870" s="7">
        <f>J870+K870</f>
        <v>2002</v>
      </c>
      <c r="M870" s="7"/>
      <c r="N870" s="7">
        <v>2002</v>
      </c>
      <c r="O870" s="7">
        <v>2002</v>
      </c>
      <c r="P870" s="349">
        <v>2002</v>
      </c>
      <c r="Q870" s="257">
        <v>100</v>
      </c>
    </row>
    <row r="871" spans="1:17" s="30" customFormat="1">
      <c r="A871" s="26" t="s">
        <v>168</v>
      </c>
      <c r="B871" s="27" t="s">
        <v>506</v>
      </c>
      <c r="C871" s="27" t="s">
        <v>26</v>
      </c>
      <c r="D871" s="27"/>
      <c r="E871" s="27"/>
      <c r="F871" s="27"/>
      <c r="G871" s="28">
        <v>33</v>
      </c>
      <c r="H871" s="28">
        <v>5409.7</v>
      </c>
      <c r="I871" s="29">
        <f t="shared" ref="I871:M873" si="345">I872</f>
        <v>0</v>
      </c>
      <c r="J871" s="29">
        <f t="shared" si="345"/>
        <v>5409.7</v>
      </c>
      <c r="K871" s="29">
        <f t="shared" si="345"/>
        <v>0</v>
      </c>
      <c r="L871" s="29">
        <f t="shared" si="345"/>
        <v>5409.7</v>
      </c>
      <c r="M871" s="29">
        <f t="shared" si="345"/>
        <v>0</v>
      </c>
      <c r="N871" s="29">
        <v>5409.7</v>
      </c>
      <c r="O871" s="29">
        <v>5409.7</v>
      </c>
      <c r="P871" s="348">
        <v>5409.7</v>
      </c>
      <c r="Q871" s="256">
        <v>100</v>
      </c>
    </row>
    <row r="872" spans="1:17" s="30" customFormat="1">
      <c r="A872" s="26" t="s">
        <v>169</v>
      </c>
      <c r="B872" s="27" t="s">
        <v>506</v>
      </c>
      <c r="C872" s="27" t="s">
        <v>26</v>
      </c>
      <c r="D872" s="27" t="s">
        <v>28</v>
      </c>
      <c r="E872" s="27"/>
      <c r="F872" s="27"/>
      <c r="G872" s="28">
        <v>33</v>
      </c>
      <c r="H872" s="28">
        <v>5409.7</v>
      </c>
      <c r="I872" s="29">
        <f t="shared" si="345"/>
        <v>0</v>
      </c>
      <c r="J872" s="29">
        <f t="shared" si="345"/>
        <v>5409.7</v>
      </c>
      <c r="K872" s="29">
        <f t="shared" si="345"/>
        <v>0</v>
      </c>
      <c r="L872" s="29">
        <f t="shared" si="345"/>
        <v>5409.7</v>
      </c>
      <c r="M872" s="29">
        <f t="shared" si="345"/>
        <v>0</v>
      </c>
      <c r="N872" s="29">
        <v>5409.7</v>
      </c>
      <c r="O872" s="29">
        <v>5409.7</v>
      </c>
      <c r="P872" s="348">
        <v>5409.7</v>
      </c>
      <c r="Q872" s="256">
        <v>100</v>
      </c>
    </row>
    <row r="873" spans="1:17" s="12" customFormat="1" ht="31.5">
      <c r="A873" s="8" t="s">
        <v>170</v>
      </c>
      <c r="B873" s="10" t="s">
        <v>506</v>
      </c>
      <c r="C873" s="10" t="s">
        <v>26</v>
      </c>
      <c r="D873" s="10" t="s">
        <v>28</v>
      </c>
      <c r="E873" s="10" t="s">
        <v>171</v>
      </c>
      <c r="F873" s="10"/>
      <c r="G873" s="11">
        <v>33</v>
      </c>
      <c r="H873" s="11">
        <v>5409.7</v>
      </c>
      <c r="I873" s="7">
        <f t="shared" si="345"/>
        <v>0</v>
      </c>
      <c r="J873" s="7">
        <f t="shared" si="345"/>
        <v>5409.7</v>
      </c>
      <c r="K873" s="7">
        <f t="shared" si="345"/>
        <v>0</v>
      </c>
      <c r="L873" s="7">
        <f t="shared" si="345"/>
        <v>5409.7</v>
      </c>
      <c r="M873" s="7">
        <f t="shared" si="345"/>
        <v>0</v>
      </c>
      <c r="N873" s="7">
        <v>5409.7</v>
      </c>
      <c r="O873" s="7">
        <v>5409.7</v>
      </c>
      <c r="P873" s="349">
        <v>5409.7</v>
      </c>
      <c r="Q873" s="257">
        <v>100</v>
      </c>
    </row>
    <row r="874" spans="1:17" s="12" customFormat="1">
      <c r="A874" s="70" t="s">
        <v>435</v>
      </c>
      <c r="B874" s="10" t="s">
        <v>506</v>
      </c>
      <c r="C874" s="10" t="s">
        <v>26</v>
      </c>
      <c r="D874" s="10" t="s">
        <v>28</v>
      </c>
      <c r="E874" s="10" t="s">
        <v>171</v>
      </c>
      <c r="F874" s="10" t="s">
        <v>432</v>
      </c>
      <c r="G874" s="11">
        <v>33</v>
      </c>
      <c r="H874" s="31">
        <v>5409.7</v>
      </c>
      <c r="I874" s="7"/>
      <c r="J874" s="7">
        <f>H874+I874</f>
        <v>5409.7</v>
      </c>
      <c r="K874" s="7"/>
      <c r="L874" s="7">
        <f>J874+K874</f>
        <v>5409.7</v>
      </c>
      <c r="M874" s="7"/>
      <c r="N874" s="7">
        <v>5409.7</v>
      </c>
      <c r="O874" s="7">
        <v>5409.7</v>
      </c>
      <c r="P874" s="349">
        <v>5409.7</v>
      </c>
      <c r="Q874" s="257">
        <v>100</v>
      </c>
    </row>
    <row r="875" spans="1:17" s="30" customFormat="1" ht="47.25">
      <c r="A875" s="26" t="s">
        <v>199</v>
      </c>
      <c r="B875" s="27" t="s">
        <v>506</v>
      </c>
      <c r="C875" s="27" t="s">
        <v>200</v>
      </c>
      <c r="D875" s="27"/>
      <c r="E875" s="27"/>
      <c r="F875" s="27"/>
      <c r="G875" s="28">
        <v>-58938.400000000001</v>
      </c>
      <c r="H875" s="28">
        <v>963247.8</v>
      </c>
      <c r="I875" s="29" t="e">
        <f>I876+I883+#REF!</f>
        <v>#REF!</v>
      </c>
      <c r="J875" s="29" t="e">
        <f>J876+J883+#REF!</f>
        <v>#REF!</v>
      </c>
      <c r="K875" s="29" t="e">
        <f>K876+K883+#REF!</f>
        <v>#REF!</v>
      </c>
      <c r="L875" s="29" t="e">
        <f>L876+L883+#REF!</f>
        <v>#REF!</v>
      </c>
      <c r="M875" s="29" t="e">
        <f>M876+M883+#REF!</f>
        <v>#REF!</v>
      </c>
      <c r="N875" s="29">
        <v>1045323.1</v>
      </c>
      <c r="O875" s="29">
        <v>1045323.1</v>
      </c>
      <c r="P875" s="348">
        <v>1044573.5</v>
      </c>
      <c r="Q875" s="256">
        <v>99.93</v>
      </c>
    </row>
    <row r="876" spans="1:17" s="30" customFormat="1" ht="47.25">
      <c r="A876" s="26" t="s">
        <v>201</v>
      </c>
      <c r="B876" s="27" t="s">
        <v>506</v>
      </c>
      <c r="C876" s="27" t="s">
        <v>200</v>
      </c>
      <c r="D876" s="27" t="s">
        <v>16</v>
      </c>
      <c r="E876" s="27"/>
      <c r="F876" s="27"/>
      <c r="G876" s="28">
        <v>23477.1</v>
      </c>
      <c r="H876" s="28">
        <v>823687.8</v>
      </c>
      <c r="I876" s="29">
        <f t="shared" ref="I876:M877" si="346">I877</f>
        <v>-900</v>
      </c>
      <c r="J876" s="29">
        <f t="shared" si="346"/>
        <v>822787.8</v>
      </c>
      <c r="K876" s="29">
        <f t="shared" si="346"/>
        <v>-500</v>
      </c>
      <c r="L876" s="29">
        <f t="shared" si="346"/>
        <v>822287.8</v>
      </c>
      <c r="M876" s="29">
        <f t="shared" si="346"/>
        <v>0</v>
      </c>
      <c r="N876" s="29">
        <v>822287.8</v>
      </c>
      <c r="O876" s="29">
        <v>822287.8</v>
      </c>
      <c r="P876" s="348">
        <v>822287.8</v>
      </c>
      <c r="Q876" s="256">
        <v>100</v>
      </c>
    </row>
    <row r="877" spans="1:17" s="12" customFormat="1">
      <c r="A877" s="8" t="s">
        <v>202</v>
      </c>
      <c r="B877" s="10" t="s">
        <v>506</v>
      </c>
      <c r="C877" s="10" t="s">
        <v>200</v>
      </c>
      <c r="D877" s="10" t="s">
        <v>16</v>
      </c>
      <c r="E877" s="10" t="s">
        <v>203</v>
      </c>
      <c r="F877" s="10"/>
      <c r="G877" s="11">
        <v>23477.1</v>
      </c>
      <c r="H877" s="11">
        <v>823687.8</v>
      </c>
      <c r="I877" s="7">
        <f t="shared" si="346"/>
        <v>-900</v>
      </c>
      <c r="J877" s="7">
        <f t="shared" si="346"/>
        <v>822787.8</v>
      </c>
      <c r="K877" s="7">
        <f t="shared" si="346"/>
        <v>-500</v>
      </c>
      <c r="L877" s="7">
        <f t="shared" si="346"/>
        <v>822287.8</v>
      </c>
      <c r="M877" s="7">
        <f t="shared" si="346"/>
        <v>0</v>
      </c>
      <c r="N877" s="7">
        <v>822287.8</v>
      </c>
      <c r="O877" s="7">
        <v>822287.8</v>
      </c>
      <c r="P877" s="349">
        <v>822287.8</v>
      </c>
      <c r="Q877" s="257">
        <v>100</v>
      </c>
    </row>
    <row r="878" spans="1:17" s="12" customFormat="1">
      <c r="A878" s="8" t="s">
        <v>202</v>
      </c>
      <c r="B878" s="10" t="s">
        <v>506</v>
      </c>
      <c r="C878" s="10" t="s">
        <v>200</v>
      </c>
      <c r="D878" s="10" t="s">
        <v>16</v>
      </c>
      <c r="E878" s="10" t="s">
        <v>204</v>
      </c>
      <c r="F878" s="10"/>
      <c r="G878" s="11">
        <v>23477.1</v>
      </c>
      <c r="H878" s="11">
        <v>823687.8</v>
      </c>
      <c r="I878" s="7">
        <f t="shared" ref="I878:M878" si="347">I879+I881</f>
        <v>-900</v>
      </c>
      <c r="J878" s="7">
        <f t="shared" si="347"/>
        <v>822787.8</v>
      </c>
      <c r="K878" s="7">
        <f t="shared" si="347"/>
        <v>-500</v>
      </c>
      <c r="L878" s="7">
        <f t="shared" si="347"/>
        <v>822287.8</v>
      </c>
      <c r="M878" s="7">
        <f t="shared" si="347"/>
        <v>0</v>
      </c>
      <c r="N878" s="7">
        <v>822287.8</v>
      </c>
      <c r="O878" s="7">
        <v>822287.8</v>
      </c>
      <c r="P878" s="349">
        <v>822287.8</v>
      </c>
      <c r="Q878" s="257">
        <v>100</v>
      </c>
    </row>
    <row r="879" spans="1:17" s="12" customFormat="1" ht="31.5">
      <c r="A879" s="8" t="s">
        <v>205</v>
      </c>
      <c r="B879" s="10" t="s">
        <v>506</v>
      </c>
      <c r="C879" s="10" t="s">
        <v>200</v>
      </c>
      <c r="D879" s="10" t="s">
        <v>16</v>
      </c>
      <c r="E879" s="10" t="s">
        <v>206</v>
      </c>
      <c r="F879" s="10"/>
      <c r="G879" s="11">
        <v>0</v>
      </c>
      <c r="H879" s="11">
        <v>95903.8</v>
      </c>
      <c r="I879" s="7">
        <f t="shared" ref="I879:M879" si="348">I880</f>
        <v>0</v>
      </c>
      <c r="J879" s="7">
        <f t="shared" si="348"/>
        <v>95903.8</v>
      </c>
      <c r="K879" s="7">
        <f t="shared" si="348"/>
        <v>0</v>
      </c>
      <c r="L879" s="7">
        <f t="shared" si="348"/>
        <v>95903.8</v>
      </c>
      <c r="M879" s="7">
        <f t="shared" si="348"/>
        <v>0</v>
      </c>
      <c r="N879" s="7">
        <v>95903.8</v>
      </c>
      <c r="O879" s="7">
        <v>95903.8</v>
      </c>
      <c r="P879" s="349">
        <v>95903.8</v>
      </c>
      <c r="Q879" s="257">
        <v>100</v>
      </c>
    </row>
    <row r="880" spans="1:17" s="12" customFormat="1" ht="31.5">
      <c r="A880" s="8" t="s">
        <v>463</v>
      </c>
      <c r="B880" s="10" t="s">
        <v>506</v>
      </c>
      <c r="C880" s="10" t="s">
        <v>200</v>
      </c>
      <c r="D880" s="10" t="s">
        <v>16</v>
      </c>
      <c r="E880" s="10" t="s">
        <v>206</v>
      </c>
      <c r="F880" s="10" t="s">
        <v>436</v>
      </c>
      <c r="G880" s="11">
        <v>0</v>
      </c>
      <c r="H880" s="31">
        <v>95903.8</v>
      </c>
      <c r="I880" s="7"/>
      <c r="J880" s="7">
        <f>H880+I880</f>
        <v>95903.8</v>
      </c>
      <c r="K880" s="7"/>
      <c r="L880" s="7">
        <f>J880+K880</f>
        <v>95903.8</v>
      </c>
      <c r="M880" s="7"/>
      <c r="N880" s="7">
        <v>95903.8</v>
      </c>
      <c r="O880" s="7">
        <v>95903.8</v>
      </c>
      <c r="P880" s="349">
        <v>95903.8</v>
      </c>
      <c r="Q880" s="257">
        <v>100</v>
      </c>
    </row>
    <row r="881" spans="1:17" s="12" customFormat="1" ht="47.25">
      <c r="A881" s="8" t="s">
        <v>207</v>
      </c>
      <c r="B881" s="10" t="s">
        <v>506</v>
      </c>
      <c r="C881" s="10" t="s">
        <v>200</v>
      </c>
      <c r="D881" s="10" t="s">
        <v>16</v>
      </c>
      <c r="E881" s="10" t="s">
        <v>208</v>
      </c>
      <c r="F881" s="10"/>
      <c r="G881" s="11">
        <v>23477.1</v>
      </c>
      <c r="H881" s="11">
        <v>727784</v>
      </c>
      <c r="I881" s="7">
        <f t="shared" ref="I881:M881" si="349">I882</f>
        <v>-900</v>
      </c>
      <c r="J881" s="7">
        <f t="shared" si="349"/>
        <v>726884</v>
      </c>
      <c r="K881" s="7">
        <f t="shared" si="349"/>
        <v>-500</v>
      </c>
      <c r="L881" s="7">
        <f t="shared" si="349"/>
        <v>726384</v>
      </c>
      <c r="M881" s="7">
        <f t="shared" si="349"/>
        <v>0</v>
      </c>
      <c r="N881" s="7">
        <v>726384</v>
      </c>
      <c r="O881" s="7">
        <v>726384</v>
      </c>
      <c r="P881" s="349">
        <v>726384</v>
      </c>
      <c r="Q881" s="257">
        <v>100</v>
      </c>
    </row>
    <row r="882" spans="1:17" s="12" customFormat="1" ht="31.5">
      <c r="A882" s="8" t="s">
        <v>463</v>
      </c>
      <c r="B882" s="10" t="s">
        <v>506</v>
      </c>
      <c r="C882" s="10" t="s">
        <v>200</v>
      </c>
      <c r="D882" s="10" t="s">
        <v>16</v>
      </c>
      <c r="E882" s="10" t="s">
        <v>208</v>
      </c>
      <c r="F882" s="10" t="s">
        <v>436</v>
      </c>
      <c r="G882" s="11">
        <v>23477.1</v>
      </c>
      <c r="H882" s="31">
        <v>727784</v>
      </c>
      <c r="I882" s="7">
        <v>-900</v>
      </c>
      <c r="J882" s="7">
        <f>H882+I882</f>
        <v>726884</v>
      </c>
      <c r="K882" s="7">
        <v>-500</v>
      </c>
      <c r="L882" s="7">
        <f>J882+K882</f>
        <v>726384</v>
      </c>
      <c r="M882" s="7"/>
      <c r="N882" s="7">
        <v>726384</v>
      </c>
      <c r="O882" s="7">
        <v>726384</v>
      </c>
      <c r="P882" s="349">
        <v>726384</v>
      </c>
      <c r="Q882" s="257">
        <v>100</v>
      </c>
    </row>
    <row r="883" spans="1:17" s="30" customFormat="1">
      <c r="A883" s="26" t="s">
        <v>209</v>
      </c>
      <c r="B883" s="27" t="s">
        <v>506</v>
      </c>
      <c r="C883" s="27" t="s">
        <v>200</v>
      </c>
      <c r="D883" s="27" t="s">
        <v>26</v>
      </c>
      <c r="E883" s="27"/>
      <c r="F883" s="27"/>
      <c r="G883" s="28">
        <v>-77415.5</v>
      </c>
      <c r="H883" s="28">
        <v>134560</v>
      </c>
      <c r="I883" s="29">
        <f t="shared" ref="I883:M885" si="350">I884</f>
        <v>19230.8</v>
      </c>
      <c r="J883" s="29">
        <f t="shared" si="350"/>
        <v>153790.79999999999</v>
      </c>
      <c r="K883" s="29">
        <f t="shared" si="350"/>
        <v>66814.8</v>
      </c>
      <c r="L883" s="29">
        <f t="shared" si="350"/>
        <v>220605.6</v>
      </c>
      <c r="M883" s="29">
        <f t="shared" si="350"/>
        <v>2429.6999999999998</v>
      </c>
      <c r="N883" s="29">
        <v>223035.3</v>
      </c>
      <c r="O883" s="29">
        <v>223035.3</v>
      </c>
      <c r="P883" s="348">
        <v>222285.7</v>
      </c>
      <c r="Q883" s="256">
        <v>99.66</v>
      </c>
    </row>
    <row r="884" spans="1:17" s="12" customFormat="1">
      <c r="A884" s="8" t="s">
        <v>210</v>
      </c>
      <c r="B884" s="10" t="s">
        <v>506</v>
      </c>
      <c r="C884" s="10" t="s">
        <v>200</v>
      </c>
      <c r="D884" s="10" t="s">
        <v>26</v>
      </c>
      <c r="E884" s="10" t="s">
        <v>211</v>
      </c>
      <c r="F884" s="10"/>
      <c r="G884" s="11">
        <v>-77415.5</v>
      </c>
      <c r="H884" s="11">
        <v>134560</v>
      </c>
      <c r="I884" s="7">
        <f t="shared" si="350"/>
        <v>19230.8</v>
      </c>
      <c r="J884" s="7">
        <f t="shared" si="350"/>
        <v>153790.79999999999</v>
      </c>
      <c r="K884" s="7">
        <f t="shared" si="350"/>
        <v>66814.8</v>
      </c>
      <c r="L884" s="7">
        <f t="shared" si="350"/>
        <v>220605.6</v>
      </c>
      <c r="M884" s="7">
        <f t="shared" si="350"/>
        <v>2429.6999999999998</v>
      </c>
      <c r="N884" s="7">
        <v>223035.3</v>
      </c>
      <c r="O884" s="7">
        <v>223035.3</v>
      </c>
      <c r="P884" s="349">
        <v>222285.7</v>
      </c>
      <c r="Q884" s="257">
        <v>99.66</v>
      </c>
    </row>
    <row r="885" spans="1:17" s="12" customFormat="1">
      <c r="A885" s="8" t="s">
        <v>212</v>
      </c>
      <c r="B885" s="10" t="s">
        <v>506</v>
      </c>
      <c r="C885" s="10" t="s">
        <v>200</v>
      </c>
      <c r="D885" s="10" t="s">
        <v>26</v>
      </c>
      <c r="E885" s="10" t="s">
        <v>213</v>
      </c>
      <c r="F885" s="10"/>
      <c r="G885" s="11">
        <v>-77415.5</v>
      </c>
      <c r="H885" s="11">
        <v>134560</v>
      </c>
      <c r="I885" s="7">
        <f t="shared" si="350"/>
        <v>19230.8</v>
      </c>
      <c r="J885" s="7">
        <f t="shared" si="350"/>
        <v>153790.79999999999</v>
      </c>
      <c r="K885" s="7">
        <f t="shared" si="350"/>
        <v>66814.8</v>
      </c>
      <c r="L885" s="7">
        <f t="shared" si="350"/>
        <v>220605.6</v>
      </c>
      <c r="M885" s="7">
        <f t="shared" si="350"/>
        <v>2429.6999999999998</v>
      </c>
      <c r="N885" s="7">
        <v>223035.3</v>
      </c>
      <c r="O885" s="7">
        <v>223035.3</v>
      </c>
      <c r="P885" s="349">
        <v>222285.7</v>
      </c>
      <c r="Q885" s="257">
        <v>99.66</v>
      </c>
    </row>
    <row r="886" spans="1:17" s="12" customFormat="1" ht="31.5">
      <c r="A886" s="8" t="s">
        <v>464</v>
      </c>
      <c r="B886" s="10" t="s">
        <v>506</v>
      </c>
      <c r="C886" s="10" t="s">
        <v>200</v>
      </c>
      <c r="D886" s="10" t="s">
        <v>26</v>
      </c>
      <c r="E886" s="10" t="s">
        <v>213</v>
      </c>
      <c r="F886" s="10" t="s">
        <v>437</v>
      </c>
      <c r="G886" s="11">
        <v>-77415.5</v>
      </c>
      <c r="H886" s="31">
        <v>134560</v>
      </c>
      <c r="I886" s="7">
        <f>500+19031.8-1431+1500-38941.5+38941.5-370</f>
        <v>19230.8</v>
      </c>
      <c r="J886" s="7">
        <f>H886+I886</f>
        <v>153790.79999999999</v>
      </c>
      <c r="K886" s="7">
        <f>500+1000+1000+39.3+300+800+1000+1140+524.1-3300+4650+20000+33015+1116.1+30.3+5000</f>
        <v>66814.8</v>
      </c>
      <c r="L886" s="7">
        <f>J886+K886</f>
        <v>220605.6</v>
      </c>
      <c r="M886" s="7">
        <f>555+1000-5550.3+400+3025+1000+2000</f>
        <v>2429.6999999999998</v>
      </c>
      <c r="N886" s="7">
        <v>223035.3</v>
      </c>
      <c r="O886" s="7">
        <v>223035.3</v>
      </c>
      <c r="P886" s="349">
        <v>222285.7</v>
      </c>
      <c r="Q886" s="257">
        <v>99.66</v>
      </c>
    </row>
    <row r="887" spans="1:17">
      <c r="A887" s="408" t="s">
        <v>216</v>
      </c>
      <c r="B887" s="409"/>
      <c r="C887" s="409"/>
      <c r="D887" s="409"/>
      <c r="E887" s="409"/>
      <c r="F887" s="409"/>
      <c r="G887" s="28">
        <v>105399.5</v>
      </c>
      <c r="H887" s="28">
        <v>1411202.4</v>
      </c>
      <c r="I887" s="29" t="e">
        <f>I888+I934+I958+I971+I976+I987+I1002+I1007</f>
        <v>#REF!</v>
      </c>
      <c r="J887" s="29" t="e">
        <f>J888+J934+J958+J971+J976+J987+J1002+J1007</f>
        <v>#REF!</v>
      </c>
      <c r="K887" s="29" t="e">
        <f>K888+K934+K958+K971+K976+K987+K1002+K1007</f>
        <v>#REF!</v>
      </c>
      <c r="L887" s="29" t="e">
        <f>L888+L934+L958+L971+L976+L987+L1002+L1007</f>
        <v>#REF!</v>
      </c>
      <c r="M887" s="29" t="e">
        <f>M888+M934+M958+M971+M976+M987+M1002+M1007</f>
        <v>#REF!</v>
      </c>
      <c r="N887" s="29">
        <v>2580232.5</v>
      </c>
      <c r="O887" s="29">
        <v>4108338.2</v>
      </c>
      <c r="P887" s="348">
        <v>2819387</v>
      </c>
      <c r="Q887" s="256">
        <v>68.63</v>
      </c>
    </row>
    <row r="888" spans="1:17">
      <c r="A888" s="26" t="s">
        <v>100</v>
      </c>
      <c r="B888" s="27" t="s">
        <v>507</v>
      </c>
      <c r="C888" s="27" t="s">
        <v>11</v>
      </c>
      <c r="D888" s="27"/>
      <c r="E888" s="27"/>
      <c r="F888" s="27"/>
      <c r="G888" s="28">
        <v>5657.6</v>
      </c>
      <c r="H888" s="28">
        <v>732967.7</v>
      </c>
      <c r="I888" s="29" t="e">
        <f t="shared" ref="I888:M888" si="351">I889+I898+I911+I915</f>
        <v>#REF!</v>
      </c>
      <c r="J888" s="29" t="e">
        <f t="shared" si="351"/>
        <v>#REF!</v>
      </c>
      <c r="K888" s="29" t="e">
        <f t="shared" si="351"/>
        <v>#REF!</v>
      </c>
      <c r="L888" s="29" t="e">
        <f t="shared" si="351"/>
        <v>#REF!</v>
      </c>
      <c r="M888" s="29" t="e">
        <f t="shared" si="351"/>
        <v>#REF!</v>
      </c>
      <c r="N888" s="29">
        <v>805140.1</v>
      </c>
      <c r="O888" s="29">
        <v>2077475.1</v>
      </c>
      <c r="P888" s="348">
        <v>1156783.2</v>
      </c>
      <c r="Q888" s="256">
        <v>55.68</v>
      </c>
    </row>
    <row r="889" spans="1:17">
      <c r="A889" s="26" t="s">
        <v>306</v>
      </c>
      <c r="B889" s="27" t="s">
        <v>507</v>
      </c>
      <c r="C889" s="27" t="s">
        <v>11</v>
      </c>
      <c r="D889" s="27" t="s">
        <v>56</v>
      </c>
      <c r="E889" s="27"/>
      <c r="F889" s="27"/>
      <c r="G889" s="28">
        <v>38300</v>
      </c>
      <c r="H889" s="28">
        <v>38300</v>
      </c>
      <c r="I889" s="29">
        <f t="shared" ref="I889:M889" si="352">I890</f>
        <v>15950</v>
      </c>
      <c r="J889" s="29">
        <f t="shared" si="352"/>
        <v>54250</v>
      </c>
      <c r="K889" s="29">
        <f t="shared" si="352"/>
        <v>22300</v>
      </c>
      <c r="L889" s="29">
        <f t="shared" si="352"/>
        <v>76550</v>
      </c>
      <c r="M889" s="29">
        <f t="shared" si="352"/>
        <v>0</v>
      </c>
      <c r="N889" s="29">
        <v>76550</v>
      </c>
      <c r="O889" s="29">
        <v>76550</v>
      </c>
      <c r="P889" s="348">
        <v>76549.399999999994</v>
      </c>
      <c r="Q889" s="256">
        <v>100</v>
      </c>
    </row>
    <row r="890" spans="1:17" s="21" customFormat="1">
      <c r="A890" s="8" t="s">
        <v>17</v>
      </c>
      <c r="B890" s="10" t="s">
        <v>507</v>
      </c>
      <c r="C890" s="10" t="s">
        <v>11</v>
      </c>
      <c r="D890" s="10" t="s">
        <v>56</v>
      </c>
      <c r="E890" s="10" t="s">
        <v>18</v>
      </c>
      <c r="F890" s="10"/>
      <c r="G890" s="11">
        <v>38300</v>
      </c>
      <c r="H890" s="11">
        <v>38300</v>
      </c>
      <c r="I890" s="7">
        <f t="shared" ref="I890:M890" si="353">I891+I894+I896</f>
        <v>15950</v>
      </c>
      <c r="J890" s="7">
        <f t="shared" si="353"/>
        <v>54250</v>
      </c>
      <c r="K890" s="7">
        <f t="shared" si="353"/>
        <v>22300</v>
      </c>
      <c r="L890" s="7">
        <f t="shared" si="353"/>
        <v>76550</v>
      </c>
      <c r="M890" s="7">
        <f t="shared" si="353"/>
        <v>0</v>
      </c>
      <c r="N890" s="7">
        <v>76550</v>
      </c>
      <c r="O890" s="7">
        <v>76550</v>
      </c>
      <c r="P890" s="349">
        <v>76549.399999999994</v>
      </c>
      <c r="Q890" s="257">
        <v>100</v>
      </c>
    </row>
    <row r="891" spans="1:17" s="12" customFormat="1" ht="47.25">
      <c r="A891" s="8" t="s">
        <v>221</v>
      </c>
      <c r="B891" s="10" t="s">
        <v>507</v>
      </c>
      <c r="C891" s="10" t="s">
        <v>11</v>
      </c>
      <c r="D891" s="10" t="s">
        <v>56</v>
      </c>
      <c r="E891" s="10" t="s">
        <v>222</v>
      </c>
      <c r="F891" s="10"/>
      <c r="G891" s="11">
        <v>3300</v>
      </c>
      <c r="H891" s="11">
        <v>3300</v>
      </c>
      <c r="I891" s="7">
        <f t="shared" ref="I891:M892" si="354">I892</f>
        <v>0</v>
      </c>
      <c r="J891" s="7">
        <f t="shared" si="354"/>
        <v>3300</v>
      </c>
      <c r="K891" s="7">
        <f t="shared" si="354"/>
        <v>-2700</v>
      </c>
      <c r="L891" s="7">
        <f t="shared" si="354"/>
        <v>600</v>
      </c>
      <c r="M891" s="7">
        <f t="shared" si="354"/>
        <v>0</v>
      </c>
      <c r="N891" s="7">
        <v>600</v>
      </c>
      <c r="O891" s="7">
        <v>600</v>
      </c>
      <c r="P891" s="349">
        <v>599.4</v>
      </c>
      <c r="Q891" s="257">
        <v>99.9</v>
      </c>
    </row>
    <row r="892" spans="1:17" s="21" customFormat="1" ht="94.5">
      <c r="A892" s="8" t="s">
        <v>583</v>
      </c>
      <c r="B892" s="10" t="s">
        <v>507</v>
      </c>
      <c r="C892" s="10" t="s">
        <v>11</v>
      </c>
      <c r="D892" s="10" t="s">
        <v>56</v>
      </c>
      <c r="E892" s="10" t="s">
        <v>584</v>
      </c>
      <c r="F892" s="10"/>
      <c r="G892" s="11">
        <v>3300</v>
      </c>
      <c r="H892" s="11">
        <v>3300</v>
      </c>
      <c r="I892" s="7">
        <f t="shared" si="354"/>
        <v>0</v>
      </c>
      <c r="J892" s="7">
        <f t="shared" si="354"/>
        <v>3300</v>
      </c>
      <c r="K892" s="7">
        <f t="shared" si="354"/>
        <v>-2700</v>
      </c>
      <c r="L892" s="7">
        <f t="shared" si="354"/>
        <v>600</v>
      </c>
      <c r="M892" s="7">
        <f t="shared" si="354"/>
        <v>0</v>
      </c>
      <c r="N892" s="7">
        <v>600</v>
      </c>
      <c r="O892" s="7">
        <v>600</v>
      </c>
      <c r="P892" s="349">
        <v>599.4</v>
      </c>
      <c r="Q892" s="257">
        <v>99.9</v>
      </c>
    </row>
    <row r="893" spans="1:17" s="12" customFormat="1" ht="47.25">
      <c r="A893" s="8" t="s">
        <v>422</v>
      </c>
      <c r="B893" s="10" t="s">
        <v>507</v>
      </c>
      <c r="C893" s="10" t="s">
        <v>11</v>
      </c>
      <c r="D893" s="10" t="s">
        <v>56</v>
      </c>
      <c r="E893" s="10" t="s">
        <v>584</v>
      </c>
      <c r="F893" s="10" t="s">
        <v>375</v>
      </c>
      <c r="G893" s="11">
        <v>3300</v>
      </c>
      <c r="H893" s="11">
        <v>3300</v>
      </c>
      <c r="I893" s="7"/>
      <c r="J893" s="7">
        <f>H893+I893</f>
        <v>3300</v>
      </c>
      <c r="K893" s="7">
        <v>-2700</v>
      </c>
      <c r="L893" s="7">
        <f>J893+K893</f>
        <v>600</v>
      </c>
      <c r="M893" s="7"/>
      <c r="N893" s="7">
        <v>600</v>
      </c>
      <c r="O893" s="7">
        <v>600</v>
      </c>
      <c r="P893" s="349">
        <v>599.4</v>
      </c>
      <c r="Q893" s="257">
        <v>99.9</v>
      </c>
    </row>
    <row r="894" spans="1:17" s="12" customFormat="1" ht="31.5">
      <c r="A894" s="8" t="s">
        <v>218</v>
      </c>
      <c r="B894" s="10" t="s">
        <v>507</v>
      </c>
      <c r="C894" s="10" t="s">
        <v>11</v>
      </c>
      <c r="D894" s="10" t="s">
        <v>56</v>
      </c>
      <c r="E894" s="10" t="s">
        <v>219</v>
      </c>
      <c r="F894" s="10"/>
      <c r="G894" s="11">
        <v>35000</v>
      </c>
      <c r="H894" s="11">
        <v>35000</v>
      </c>
      <c r="I894" s="7">
        <f t="shared" ref="I894:M894" si="355">I895</f>
        <v>10000</v>
      </c>
      <c r="J894" s="7">
        <f t="shared" si="355"/>
        <v>45000</v>
      </c>
      <c r="K894" s="7">
        <f t="shared" si="355"/>
        <v>23000</v>
      </c>
      <c r="L894" s="7">
        <f t="shared" si="355"/>
        <v>68000</v>
      </c>
      <c r="M894" s="7">
        <f t="shared" si="355"/>
        <v>0</v>
      </c>
      <c r="N894" s="7">
        <v>68000</v>
      </c>
      <c r="O894" s="7">
        <v>68000</v>
      </c>
      <c r="P894" s="349">
        <v>68000</v>
      </c>
      <c r="Q894" s="257">
        <v>100</v>
      </c>
    </row>
    <row r="895" spans="1:17" s="12" customFormat="1" ht="47.25">
      <c r="A895" s="8" t="s">
        <v>422</v>
      </c>
      <c r="B895" s="10" t="s">
        <v>507</v>
      </c>
      <c r="C895" s="10" t="s">
        <v>11</v>
      </c>
      <c r="D895" s="10" t="s">
        <v>56</v>
      </c>
      <c r="E895" s="10" t="s">
        <v>219</v>
      </c>
      <c r="F895" s="10" t="s">
        <v>375</v>
      </c>
      <c r="G895" s="11">
        <v>35000</v>
      </c>
      <c r="H895" s="31">
        <v>35000</v>
      </c>
      <c r="I895" s="7">
        <v>10000</v>
      </c>
      <c r="J895" s="7">
        <f>H895+I895</f>
        <v>45000</v>
      </c>
      <c r="K895" s="7">
        <v>23000</v>
      </c>
      <c r="L895" s="7">
        <f>J895+K895</f>
        <v>68000</v>
      </c>
      <c r="M895" s="7"/>
      <c r="N895" s="7">
        <v>68000</v>
      </c>
      <c r="O895" s="7">
        <v>68000</v>
      </c>
      <c r="P895" s="349">
        <v>68000</v>
      </c>
      <c r="Q895" s="257">
        <v>100</v>
      </c>
    </row>
    <row r="896" spans="1:17" s="12" customFormat="1" ht="47.25">
      <c r="A896" s="8" t="s">
        <v>423</v>
      </c>
      <c r="B896" s="10" t="s">
        <v>507</v>
      </c>
      <c r="C896" s="10" t="s">
        <v>11</v>
      </c>
      <c r="D896" s="10" t="s">
        <v>56</v>
      </c>
      <c r="E896" s="10" t="s">
        <v>315</v>
      </c>
      <c r="F896" s="10"/>
      <c r="G896" s="11"/>
      <c r="H896" s="31">
        <f t="shared" ref="H896:M896" si="356">H897</f>
        <v>0</v>
      </c>
      <c r="I896" s="31">
        <f t="shared" si="356"/>
        <v>5950</v>
      </c>
      <c r="J896" s="31">
        <f t="shared" si="356"/>
        <v>5950</v>
      </c>
      <c r="K896" s="31">
        <f t="shared" si="356"/>
        <v>2000</v>
      </c>
      <c r="L896" s="31">
        <f t="shared" si="356"/>
        <v>7950</v>
      </c>
      <c r="M896" s="31">
        <f t="shared" si="356"/>
        <v>0</v>
      </c>
      <c r="N896" s="31">
        <v>7950</v>
      </c>
      <c r="O896" s="36">
        <v>7950</v>
      </c>
      <c r="P896" s="350">
        <v>7950</v>
      </c>
      <c r="Q896" s="257">
        <v>100</v>
      </c>
    </row>
    <row r="897" spans="1:17" s="12" customFormat="1">
      <c r="A897" s="8" t="s">
        <v>362</v>
      </c>
      <c r="B897" s="10" t="s">
        <v>507</v>
      </c>
      <c r="C897" s="10" t="s">
        <v>11</v>
      </c>
      <c r="D897" s="10" t="s">
        <v>56</v>
      </c>
      <c r="E897" s="10" t="s">
        <v>315</v>
      </c>
      <c r="F897" s="10" t="s">
        <v>334</v>
      </c>
      <c r="G897" s="11"/>
      <c r="H897" s="31"/>
      <c r="I897" s="7">
        <f>4007.7+1415+527.3</f>
        <v>5950</v>
      </c>
      <c r="J897" s="7">
        <f>H897+I897</f>
        <v>5950</v>
      </c>
      <c r="K897" s="7">
        <v>2000</v>
      </c>
      <c r="L897" s="7">
        <f>J897+K897</f>
        <v>7950</v>
      </c>
      <c r="M897" s="7"/>
      <c r="N897" s="7">
        <v>7950</v>
      </c>
      <c r="O897" s="7">
        <v>7950</v>
      </c>
      <c r="P897" s="349">
        <v>7950</v>
      </c>
      <c r="Q897" s="257">
        <v>100</v>
      </c>
    </row>
    <row r="898" spans="1:17" s="30" customFormat="1">
      <c r="A898" s="26" t="s">
        <v>217</v>
      </c>
      <c r="B898" s="27" t="s">
        <v>507</v>
      </c>
      <c r="C898" s="27" t="s">
        <v>11</v>
      </c>
      <c r="D898" s="27" t="s">
        <v>14</v>
      </c>
      <c r="E898" s="27"/>
      <c r="F898" s="27"/>
      <c r="G898" s="28">
        <v>-32968</v>
      </c>
      <c r="H898" s="28">
        <v>654913.4</v>
      </c>
      <c r="I898" s="29">
        <f>I901+I907</f>
        <v>31133.9</v>
      </c>
      <c r="J898" s="29">
        <f>J901+J907</f>
        <v>686047.3</v>
      </c>
      <c r="K898" s="29">
        <f>K901+K907</f>
        <v>3500</v>
      </c>
      <c r="L898" s="29">
        <f>L901+L907</f>
        <v>689547.3</v>
      </c>
      <c r="M898" s="29">
        <f>M901+M907</f>
        <v>0</v>
      </c>
      <c r="N898" s="29">
        <v>689547.3</v>
      </c>
      <c r="O898" s="29">
        <v>1961882.3</v>
      </c>
      <c r="P898" s="348">
        <v>1043235.2</v>
      </c>
      <c r="Q898" s="256">
        <v>53.18</v>
      </c>
    </row>
    <row r="899" spans="1:17" s="12" customFormat="1" ht="47.25">
      <c r="A899" s="8" t="s">
        <v>1059</v>
      </c>
      <c r="B899" s="10" t="s">
        <v>507</v>
      </c>
      <c r="C899" s="10" t="s">
        <v>11</v>
      </c>
      <c r="D899" s="10" t="s">
        <v>14</v>
      </c>
      <c r="E899" s="10" t="s">
        <v>1058</v>
      </c>
      <c r="F899" s="10"/>
      <c r="G899" s="11"/>
      <c r="H899" s="11"/>
      <c r="I899" s="7"/>
      <c r="J899" s="7"/>
      <c r="K899" s="7"/>
      <c r="L899" s="7"/>
      <c r="M899" s="7"/>
      <c r="N899" s="7">
        <v>0</v>
      </c>
      <c r="O899" s="7">
        <v>1272335</v>
      </c>
      <c r="P899" s="349">
        <v>353700</v>
      </c>
      <c r="Q899" s="257">
        <v>27.8</v>
      </c>
    </row>
    <row r="900" spans="1:17" s="12" customFormat="1" ht="47.25">
      <c r="A900" s="8" t="s">
        <v>424</v>
      </c>
      <c r="B900" s="10" t="s">
        <v>507</v>
      </c>
      <c r="C900" s="10" t="s">
        <v>11</v>
      </c>
      <c r="D900" s="10" t="s">
        <v>14</v>
      </c>
      <c r="E900" s="10" t="s">
        <v>1058</v>
      </c>
      <c r="F900" s="10" t="s">
        <v>417</v>
      </c>
      <c r="G900" s="11"/>
      <c r="H900" s="11"/>
      <c r="I900" s="7"/>
      <c r="J900" s="7"/>
      <c r="K900" s="7"/>
      <c r="L900" s="7"/>
      <c r="M900" s="7"/>
      <c r="N900" s="7">
        <v>0</v>
      </c>
      <c r="O900" s="7">
        <v>1272335</v>
      </c>
      <c r="P900" s="349">
        <v>353700</v>
      </c>
      <c r="Q900" s="257">
        <v>27.8</v>
      </c>
    </row>
    <row r="901" spans="1:17" s="12" customFormat="1">
      <c r="A901" s="8" t="s">
        <v>17</v>
      </c>
      <c r="B901" s="10" t="s">
        <v>507</v>
      </c>
      <c r="C901" s="10" t="s">
        <v>11</v>
      </c>
      <c r="D901" s="10" t="s">
        <v>14</v>
      </c>
      <c r="E901" s="10" t="s">
        <v>18</v>
      </c>
      <c r="F901" s="10"/>
      <c r="G901" s="11">
        <v>-32968</v>
      </c>
      <c r="H901" s="11">
        <v>609815.9</v>
      </c>
      <c r="I901" s="7">
        <f t="shared" ref="I901:M901" si="357">I902+I904</f>
        <v>31133.9</v>
      </c>
      <c r="J901" s="7">
        <f t="shared" si="357"/>
        <v>640949.80000000005</v>
      </c>
      <c r="K901" s="7">
        <f t="shared" si="357"/>
        <v>3500</v>
      </c>
      <c r="L901" s="7">
        <f t="shared" si="357"/>
        <v>644449.80000000005</v>
      </c>
      <c r="M901" s="7">
        <f t="shared" si="357"/>
        <v>0</v>
      </c>
      <c r="N901" s="7">
        <v>644449.80000000005</v>
      </c>
      <c r="O901" s="7">
        <v>644449.80000000005</v>
      </c>
      <c r="P901" s="349">
        <v>644437.69999999995</v>
      </c>
      <c r="Q901" s="257">
        <v>100</v>
      </c>
    </row>
    <row r="902" spans="1:17" s="12" customFormat="1" ht="63">
      <c r="A902" s="8" t="s">
        <v>676</v>
      </c>
      <c r="B902" s="10" t="s">
        <v>507</v>
      </c>
      <c r="C902" s="10" t="s">
        <v>11</v>
      </c>
      <c r="D902" s="10" t="s">
        <v>14</v>
      </c>
      <c r="E902" s="10" t="s">
        <v>654</v>
      </c>
      <c r="F902" s="10"/>
      <c r="G902" s="11">
        <v>38516.5</v>
      </c>
      <c r="H902" s="11">
        <v>38516.5</v>
      </c>
      <c r="I902" s="7">
        <f t="shared" ref="I902:M902" si="358">I903</f>
        <v>2062.4</v>
      </c>
      <c r="J902" s="7">
        <f t="shared" si="358"/>
        <v>40578.9</v>
      </c>
      <c r="K902" s="7">
        <f t="shared" si="358"/>
        <v>0</v>
      </c>
      <c r="L902" s="7">
        <f t="shared" si="358"/>
        <v>40578.9</v>
      </c>
      <c r="M902" s="7">
        <f t="shared" si="358"/>
        <v>0</v>
      </c>
      <c r="N902" s="7">
        <v>40578.9</v>
      </c>
      <c r="O902" s="7">
        <v>40578.9</v>
      </c>
      <c r="P902" s="349">
        <v>40578.9</v>
      </c>
      <c r="Q902" s="257">
        <v>100</v>
      </c>
    </row>
    <row r="903" spans="1:17" s="12" customFormat="1" ht="47.25">
      <c r="A903" s="8" t="s">
        <v>360</v>
      </c>
      <c r="B903" s="10" t="s">
        <v>507</v>
      </c>
      <c r="C903" s="10" t="s">
        <v>11</v>
      </c>
      <c r="D903" s="10" t="s">
        <v>14</v>
      </c>
      <c r="E903" s="10" t="s">
        <v>654</v>
      </c>
      <c r="F903" s="10" t="s">
        <v>359</v>
      </c>
      <c r="G903" s="11">
        <v>38516.5</v>
      </c>
      <c r="H903" s="11">
        <v>38516.5</v>
      </c>
      <c r="I903" s="7">
        <v>2062.4</v>
      </c>
      <c r="J903" s="7">
        <f>H903+I903</f>
        <v>40578.9</v>
      </c>
      <c r="K903" s="7"/>
      <c r="L903" s="7">
        <f>J903+K903</f>
        <v>40578.9</v>
      </c>
      <c r="M903" s="7"/>
      <c r="N903" s="7">
        <v>40578.9</v>
      </c>
      <c r="O903" s="7">
        <v>40578.9</v>
      </c>
      <c r="P903" s="349">
        <v>40578.9</v>
      </c>
      <c r="Q903" s="257">
        <v>100</v>
      </c>
    </row>
    <row r="904" spans="1:17" s="12" customFormat="1" ht="31.5">
      <c r="A904" s="8" t="s">
        <v>218</v>
      </c>
      <c r="B904" s="10" t="s">
        <v>507</v>
      </c>
      <c r="C904" s="10" t="s">
        <v>11</v>
      </c>
      <c r="D904" s="10" t="s">
        <v>14</v>
      </c>
      <c r="E904" s="10" t="s">
        <v>219</v>
      </c>
      <c r="F904" s="10"/>
      <c r="G904" s="11">
        <v>-71484.5</v>
      </c>
      <c r="H904" s="11">
        <v>571299.4</v>
      </c>
      <c r="I904" s="7">
        <f t="shared" ref="I904:M904" si="359">I905+I906</f>
        <v>29071.5</v>
      </c>
      <c r="J904" s="7">
        <f t="shared" si="359"/>
        <v>600370.9</v>
      </c>
      <c r="K904" s="7">
        <f t="shared" si="359"/>
        <v>3500</v>
      </c>
      <c r="L904" s="7">
        <f t="shared" si="359"/>
        <v>603870.9</v>
      </c>
      <c r="M904" s="7">
        <f t="shared" si="359"/>
        <v>0</v>
      </c>
      <c r="N904" s="7">
        <v>603870.9</v>
      </c>
      <c r="O904" s="7">
        <v>603870.9</v>
      </c>
      <c r="P904" s="349">
        <v>603858.80000000005</v>
      </c>
      <c r="Q904" s="257">
        <v>100</v>
      </c>
    </row>
    <row r="905" spans="1:17" s="12" customFormat="1" ht="47.25">
      <c r="A905" s="8" t="s">
        <v>424</v>
      </c>
      <c r="B905" s="10" t="s">
        <v>507</v>
      </c>
      <c r="C905" s="10" t="s">
        <v>11</v>
      </c>
      <c r="D905" s="10" t="s">
        <v>14</v>
      </c>
      <c r="E905" s="10" t="s">
        <v>219</v>
      </c>
      <c r="F905" s="10" t="s">
        <v>417</v>
      </c>
      <c r="G905" s="11">
        <v>0</v>
      </c>
      <c r="H905" s="31">
        <v>157628.6</v>
      </c>
      <c r="I905" s="7">
        <v>30387.3</v>
      </c>
      <c r="J905" s="7">
        <f>H905+I905</f>
        <v>188015.9</v>
      </c>
      <c r="K905" s="7"/>
      <c r="L905" s="7">
        <f>J905+K905</f>
        <v>188015.9</v>
      </c>
      <c r="M905" s="7"/>
      <c r="N905" s="7">
        <v>188015.9</v>
      </c>
      <c r="O905" s="7">
        <v>188015.9</v>
      </c>
      <c r="P905" s="349">
        <v>188015.9</v>
      </c>
      <c r="Q905" s="257">
        <v>100</v>
      </c>
    </row>
    <row r="906" spans="1:17" s="12" customFormat="1" ht="47.25">
      <c r="A906" s="8" t="s">
        <v>360</v>
      </c>
      <c r="B906" s="10" t="s">
        <v>507</v>
      </c>
      <c r="C906" s="10" t="s">
        <v>11</v>
      </c>
      <c r="D906" s="10" t="s">
        <v>14</v>
      </c>
      <c r="E906" s="10" t="s">
        <v>219</v>
      </c>
      <c r="F906" s="10" t="s">
        <v>359</v>
      </c>
      <c r="G906" s="11">
        <v>-71484.5</v>
      </c>
      <c r="H906" s="31">
        <v>413670.8</v>
      </c>
      <c r="I906" s="7">
        <f>746.6-2062.4</f>
        <v>-1315.8</v>
      </c>
      <c r="J906" s="7">
        <f>H906+I906</f>
        <v>412355</v>
      </c>
      <c r="K906" s="7">
        <v>3500</v>
      </c>
      <c r="L906" s="7">
        <f>J906+K906</f>
        <v>415855</v>
      </c>
      <c r="M906" s="7"/>
      <c r="N906" s="7">
        <v>415855</v>
      </c>
      <c r="O906" s="7">
        <v>415855</v>
      </c>
      <c r="P906" s="349">
        <v>415842.9</v>
      </c>
      <c r="Q906" s="257">
        <v>100</v>
      </c>
    </row>
    <row r="907" spans="1:17" s="12" customFormat="1">
      <c r="A907" s="8" t="s">
        <v>363</v>
      </c>
      <c r="B907" s="10" t="s">
        <v>507</v>
      </c>
      <c r="C907" s="10" t="s">
        <v>11</v>
      </c>
      <c r="D907" s="10" t="s">
        <v>14</v>
      </c>
      <c r="E907" s="10" t="s">
        <v>364</v>
      </c>
      <c r="F907" s="10"/>
      <c r="G907" s="11">
        <v>0</v>
      </c>
      <c r="H907" s="11">
        <v>45097.5</v>
      </c>
      <c r="I907" s="7">
        <f t="shared" ref="I907:M907" si="360">I908</f>
        <v>0</v>
      </c>
      <c r="J907" s="7">
        <f t="shared" si="360"/>
        <v>45097.5</v>
      </c>
      <c r="K907" s="7">
        <f t="shared" si="360"/>
        <v>0</v>
      </c>
      <c r="L907" s="7">
        <f t="shared" si="360"/>
        <v>45097.5</v>
      </c>
      <c r="M907" s="7">
        <f t="shared" si="360"/>
        <v>0</v>
      </c>
      <c r="N907" s="7">
        <v>45097.5</v>
      </c>
      <c r="O907" s="7">
        <v>45097.5</v>
      </c>
      <c r="P907" s="349">
        <v>45097.5</v>
      </c>
      <c r="Q907" s="257">
        <v>100</v>
      </c>
    </row>
    <row r="908" spans="1:17" s="12" customFormat="1" ht="31.5">
      <c r="A908" s="8" t="s">
        <v>585</v>
      </c>
      <c r="B908" s="10" t="s">
        <v>507</v>
      </c>
      <c r="C908" s="10" t="s">
        <v>11</v>
      </c>
      <c r="D908" s="10" t="s">
        <v>14</v>
      </c>
      <c r="E908" s="10" t="s">
        <v>418</v>
      </c>
      <c r="F908" s="10"/>
      <c r="G908" s="11">
        <v>0</v>
      </c>
      <c r="H908" s="11">
        <v>45097.5</v>
      </c>
      <c r="I908" s="7">
        <f t="shared" ref="I908:M908" si="361">I909+I910</f>
        <v>0</v>
      </c>
      <c r="J908" s="7">
        <f t="shared" si="361"/>
        <v>45097.5</v>
      </c>
      <c r="K908" s="7">
        <f t="shared" si="361"/>
        <v>0</v>
      </c>
      <c r="L908" s="7">
        <f t="shared" si="361"/>
        <v>45097.5</v>
      </c>
      <c r="M908" s="7">
        <f t="shared" si="361"/>
        <v>0</v>
      </c>
      <c r="N908" s="7">
        <v>45097.5</v>
      </c>
      <c r="O908" s="7">
        <v>45097.5</v>
      </c>
      <c r="P908" s="349">
        <v>45097.5</v>
      </c>
      <c r="Q908" s="257">
        <v>100</v>
      </c>
    </row>
    <row r="909" spans="1:17" s="12" customFormat="1" ht="47.25">
      <c r="A909" s="8" t="s">
        <v>360</v>
      </c>
      <c r="B909" s="10" t="s">
        <v>507</v>
      </c>
      <c r="C909" s="10" t="s">
        <v>11</v>
      </c>
      <c r="D909" s="10" t="s">
        <v>14</v>
      </c>
      <c r="E909" s="10" t="s">
        <v>418</v>
      </c>
      <c r="F909" s="10" t="s">
        <v>359</v>
      </c>
      <c r="G909" s="11">
        <v>0</v>
      </c>
      <c r="H909" s="31">
        <v>42097.5</v>
      </c>
      <c r="I909" s="7"/>
      <c r="J909" s="7">
        <f>H909+I909</f>
        <v>42097.5</v>
      </c>
      <c r="K909" s="7"/>
      <c r="L909" s="7">
        <f>J909+K909</f>
        <v>42097.5</v>
      </c>
      <c r="M909" s="7"/>
      <c r="N909" s="7">
        <v>42097.5</v>
      </c>
      <c r="O909" s="7">
        <v>42097.5</v>
      </c>
      <c r="P909" s="349">
        <v>42097.5</v>
      </c>
      <c r="Q909" s="257">
        <v>100</v>
      </c>
    </row>
    <row r="910" spans="1:17" s="12" customFormat="1">
      <c r="A910" s="8" t="s">
        <v>373</v>
      </c>
      <c r="B910" s="10" t="s">
        <v>507</v>
      </c>
      <c r="C910" s="10" t="s">
        <v>11</v>
      </c>
      <c r="D910" s="10" t="s">
        <v>14</v>
      </c>
      <c r="E910" s="10" t="s">
        <v>418</v>
      </c>
      <c r="F910" s="10" t="s">
        <v>372</v>
      </c>
      <c r="G910" s="11">
        <v>0</v>
      </c>
      <c r="H910" s="31">
        <v>3000</v>
      </c>
      <c r="I910" s="7"/>
      <c r="J910" s="7">
        <f>H910+I910</f>
        <v>3000</v>
      </c>
      <c r="K910" s="7"/>
      <c r="L910" s="7">
        <f>J910+K910</f>
        <v>3000</v>
      </c>
      <c r="M910" s="7"/>
      <c r="N910" s="7">
        <v>3000</v>
      </c>
      <c r="O910" s="7">
        <v>3000</v>
      </c>
      <c r="P910" s="349">
        <v>3000</v>
      </c>
      <c r="Q910" s="257">
        <v>100</v>
      </c>
    </row>
    <row r="911" spans="1:17" s="30" customFormat="1" ht="31.5">
      <c r="A911" s="26" t="s">
        <v>719</v>
      </c>
      <c r="B911" s="27" t="s">
        <v>507</v>
      </c>
      <c r="C911" s="27" t="s">
        <v>11</v>
      </c>
      <c r="D911" s="27" t="s">
        <v>140</v>
      </c>
      <c r="E911" s="27"/>
      <c r="F911" s="27"/>
      <c r="G911" s="28">
        <v>3000</v>
      </c>
      <c r="H911" s="28">
        <v>3000</v>
      </c>
      <c r="I911" s="29" t="e">
        <f t="shared" ref="I911:M912" si="362">I912</f>
        <v>#REF!</v>
      </c>
      <c r="J911" s="29">
        <f t="shared" si="362"/>
        <v>3000</v>
      </c>
      <c r="K911" s="29">
        <f t="shared" si="362"/>
        <v>0</v>
      </c>
      <c r="L911" s="29">
        <f t="shared" si="362"/>
        <v>3000</v>
      </c>
      <c r="M911" s="29">
        <f t="shared" si="362"/>
        <v>0</v>
      </c>
      <c r="N911" s="29">
        <v>3000</v>
      </c>
      <c r="O911" s="29">
        <v>3000</v>
      </c>
      <c r="P911" s="348">
        <v>2038.3</v>
      </c>
      <c r="Q911" s="256">
        <v>67.94</v>
      </c>
    </row>
    <row r="912" spans="1:17" s="30" customFormat="1">
      <c r="A912" s="8" t="s">
        <v>17</v>
      </c>
      <c r="B912" s="10" t="s">
        <v>507</v>
      </c>
      <c r="C912" s="10" t="s">
        <v>11</v>
      </c>
      <c r="D912" s="10" t="s">
        <v>140</v>
      </c>
      <c r="E912" s="10" t="s">
        <v>18</v>
      </c>
      <c r="F912" s="27"/>
      <c r="G912" s="11">
        <v>3000</v>
      </c>
      <c r="H912" s="11">
        <v>3000</v>
      </c>
      <c r="I912" s="7" t="e">
        <f t="shared" si="362"/>
        <v>#REF!</v>
      </c>
      <c r="J912" s="7">
        <f t="shared" si="362"/>
        <v>3000</v>
      </c>
      <c r="K912" s="7">
        <f t="shared" si="362"/>
        <v>0</v>
      </c>
      <c r="L912" s="7">
        <f t="shared" si="362"/>
        <v>3000</v>
      </c>
      <c r="M912" s="7">
        <f t="shared" si="362"/>
        <v>0</v>
      </c>
      <c r="N912" s="7">
        <v>3000</v>
      </c>
      <c r="O912" s="7">
        <v>3000</v>
      </c>
      <c r="P912" s="349">
        <v>2038.3</v>
      </c>
      <c r="Q912" s="257">
        <v>67.94</v>
      </c>
    </row>
    <row r="913" spans="1:17" s="12" customFormat="1" ht="63">
      <c r="A913" s="8" t="s">
        <v>676</v>
      </c>
      <c r="B913" s="10" t="s">
        <v>507</v>
      </c>
      <c r="C913" s="10" t="s">
        <v>11</v>
      </c>
      <c r="D913" s="10" t="s">
        <v>140</v>
      </c>
      <c r="E913" s="10" t="s">
        <v>654</v>
      </c>
      <c r="F913" s="10"/>
      <c r="G913" s="11">
        <v>3000</v>
      </c>
      <c r="H913" s="31">
        <v>3000</v>
      </c>
      <c r="I913" s="7" t="e">
        <f>#REF!+I914</f>
        <v>#REF!</v>
      </c>
      <c r="J913" s="7">
        <f>J914</f>
        <v>3000</v>
      </c>
      <c r="K913" s="7">
        <f>K914</f>
        <v>0</v>
      </c>
      <c r="L913" s="7">
        <f>L914</f>
        <v>3000</v>
      </c>
      <c r="M913" s="7">
        <f>M914</f>
        <v>0</v>
      </c>
      <c r="N913" s="7">
        <v>3000</v>
      </c>
      <c r="O913" s="7">
        <v>3000</v>
      </c>
      <c r="P913" s="349">
        <v>2038.3</v>
      </c>
      <c r="Q913" s="257">
        <v>67.94</v>
      </c>
    </row>
    <row r="914" spans="1:17" s="12" customFormat="1" ht="47.25">
      <c r="A914" s="8" t="s">
        <v>422</v>
      </c>
      <c r="B914" s="10" t="s">
        <v>507</v>
      </c>
      <c r="C914" s="10" t="s">
        <v>11</v>
      </c>
      <c r="D914" s="10" t="s">
        <v>140</v>
      </c>
      <c r="E914" s="10" t="s">
        <v>654</v>
      </c>
      <c r="F914" s="10" t="s">
        <v>375</v>
      </c>
      <c r="G914" s="11"/>
      <c r="H914" s="31"/>
      <c r="I914" s="7">
        <v>3000</v>
      </c>
      <c r="J914" s="7">
        <f>H914+I914</f>
        <v>3000</v>
      </c>
      <c r="K914" s="7"/>
      <c r="L914" s="7">
        <f>J914+K914</f>
        <v>3000</v>
      </c>
      <c r="M914" s="7"/>
      <c r="N914" s="7">
        <v>3000</v>
      </c>
      <c r="O914" s="7">
        <v>3000</v>
      </c>
      <c r="P914" s="349">
        <v>2038.3</v>
      </c>
      <c r="Q914" s="257">
        <v>67.94</v>
      </c>
    </row>
    <row r="915" spans="1:17" s="30" customFormat="1">
      <c r="A915" s="26" t="s">
        <v>158</v>
      </c>
      <c r="B915" s="27" t="s">
        <v>507</v>
      </c>
      <c r="C915" s="27" t="s">
        <v>11</v>
      </c>
      <c r="D915" s="27">
        <v>12</v>
      </c>
      <c r="E915" s="27"/>
      <c r="F915" s="27"/>
      <c r="G915" s="28">
        <v>-2674.4</v>
      </c>
      <c r="H915" s="28">
        <v>36754.300000000003</v>
      </c>
      <c r="I915" s="29" t="e">
        <f>I916+I928</f>
        <v>#REF!</v>
      </c>
      <c r="J915" s="29" t="e">
        <f t="shared" ref="J915:M915" si="363">J916+J928+J925</f>
        <v>#REF!</v>
      </c>
      <c r="K915" s="29" t="e">
        <f t="shared" si="363"/>
        <v>#REF!</v>
      </c>
      <c r="L915" s="29" t="e">
        <f t="shared" si="363"/>
        <v>#REF!</v>
      </c>
      <c r="M915" s="29" t="e">
        <f t="shared" si="363"/>
        <v>#REF!</v>
      </c>
      <c r="N915" s="29">
        <v>36042.800000000003</v>
      </c>
      <c r="O915" s="29">
        <v>36042.800000000003</v>
      </c>
      <c r="P915" s="348">
        <v>34960.300000000003</v>
      </c>
      <c r="Q915" s="256">
        <v>97</v>
      </c>
    </row>
    <row r="916" spans="1:17" s="12" customFormat="1" ht="47.25">
      <c r="A916" s="8" t="s">
        <v>65</v>
      </c>
      <c r="B916" s="10" t="s">
        <v>507</v>
      </c>
      <c r="C916" s="10" t="s">
        <v>11</v>
      </c>
      <c r="D916" s="10">
        <v>12</v>
      </c>
      <c r="E916" s="41" t="s">
        <v>41</v>
      </c>
      <c r="F916" s="10"/>
      <c r="G916" s="11">
        <v>3325.6</v>
      </c>
      <c r="H916" s="11">
        <v>32754.3</v>
      </c>
      <c r="I916" s="7" t="e">
        <f t="shared" ref="I916:M916" si="364">I917</f>
        <v>#REF!</v>
      </c>
      <c r="J916" s="7">
        <f t="shared" si="364"/>
        <v>33036.800000000003</v>
      </c>
      <c r="K916" s="7">
        <f t="shared" si="364"/>
        <v>1800</v>
      </c>
      <c r="L916" s="7">
        <f t="shared" si="364"/>
        <v>34836.800000000003</v>
      </c>
      <c r="M916" s="7">
        <f t="shared" si="364"/>
        <v>0</v>
      </c>
      <c r="N916" s="7">
        <v>34836.800000000003</v>
      </c>
      <c r="O916" s="7">
        <v>34836.800000000003</v>
      </c>
      <c r="P916" s="349">
        <v>34424.300000000003</v>
      </c>
      <c r="Q916" s="257">
        <v>98.82</v>
      </c>
    </row>
    <row r="917" spans="1:17" s="12" customFormat="1">
      <c r="A917" s="8" t="s">
        <v>42</v>
      </c>
      <c r="B917" s="10" t="s">
        <v>507</v>
      </c>
      <c r="C917" s="10" t="s">
        <v>11</v>
      </c>
      <c r="D917" s="10">
        <v>12</v>
      </c>
      <c r="E917" s="41" t="s">
        <v>43</v>
      </c>
      <c r="F917" s="10"/>
      <c r="G917" s="11">
        <v>3325.6</v>
      </c>
      <c r="H917" s="11">
        <v>32754.3</v>
      </c>
      <c r="I917" s="7" t="e">
        <f>I918+I919+I920+#REF!+I921+I922+I923+I924</f>
        <v>#REF!</v>
      </c>
      <c r="J917" s="7">
        <f t="shared" ref="J917:M917" si="365">J918+J919+J920+J921+J922+J923+J924</f>
        <v>33036.800000000003</v>
      </c>
      <c r="K917" s="7">
        <f t="shared" si="365"/>
        <v>1800</v>
      </c>
      <c r="L917" s="7">
        <f t="shared" si="365"/>
        <v>34836.800000000003</v>
      </c>
      <c r="M917" s="7">
        <f t="shared" si="365"/>
        <v>0</v>
      </c>
      <c r="N917" s="7">
        <v>34836.800000000003</v>
      </c>
      <c r="O917" s="7">
        <v>34836.800000000003</v>
      </c>
      <c r="P917" s="349">
        <v>34424.300000000003</v>
      </c>
      <c r="Q917" s="257">
        <v>98.82</v>
      </c>
    </row>
    <row r="918" spans="1:17" s="12" customFormat="1">
      <c r="A918" s="8" t="s">
        <v>337</v>
      </c>
      <c r="B918" s="10" t="s">
        <v>507</v>
      </c>
      <c r="C918" s="10" t="s">
        <v>11</v>
      </c>
      <c r="D918" s="10">
        <v>12</v>
      </c>
      <c r="E918" s="41" t="s">
        <v>43</v>
      </c>
      <c r="F918" s="10" t="s">
        <v>331</v>
      </c>
      <c r="G918" s="11">
        <v>2836.2</v>
      </c>
      <c r="H918" s="31">
        <v>26120.2</v>
      </c>
      <c r="I918" s="7"/>
      <c r="J918" s="7">
        <f t="shared" ref="J918:J924" si="366">H918+I918</f>
        <v>26120.2</v>
      </c>
      <c r="K918" s="7">
        <v>1000</v>
      </c>
      <c r="L918" s="7">
        <f t="shared" ref="L918:L924" si="367">J918+K918</f>
        <v>27120.2</v>
      </c>
      <c r="M918" s="7">
        <v>-53</v>
      </c>
      <c r="N918" s="7">
        <v>27067.200000000001</v>
      </c>
      <c r="O918" s="7">
        <v>27067.200000000001</v>
      </c>
      <c r="P918" s="349">
        <v>26960.1</v>
      </c>
      <c r="Q918" s="257">
        <v>99.6</v>
      </c>
    </row>
    <row r="919" spans="1:17" s="12" customFormat="1">
      <c r="A919" s="8" t="s">
        <v>356</v>
      </c>
      <c r="B919" s="10" t="s">
        <v>507</v>
      </c>
      <c r="C919" s="10" t="s">
        <v>11</v>
      </c>
      <c r="D919" s="10">
        <v>12</v>
      </c>
      <c r="E919" s="41" t="s">
        <v>43</v>
      </c>
      <c r="F919" s="10" t="s">
        <v>332</v>
      </c>
      <c r="G919" s="11">
        <v>1038.8</v>
      </c>
      <c r="H919" s="31">
        <v>1098.8</v>
      </c>
      <c r="I919" s="7"/>
      <c r="J919" s="7">
        <f t="shared" si="366"/>
        <v>1098.8</v>
      </c>
      <c r="K919" s="7">
        <v>42.1</v>
      </c>
      <c r="L919" s="7">
        <f t="shared" si="367"/>
        <v>1140.9000000000001</v>
      </c>
      <c r="M919" s="7">
        <f>80-142.1</f>
        <v>-62.1</v>
      </c>
      <c r="N919" s="7">
        <v>1078.8</v>
      </c>
      <c r="O919" s="7">
        <v>1078.8</v>
      </c>
      <c r="P919" s="349">
        <v>1004.1</v>
      </c>
      <c r="Q919" s="257">
        <v>93.08</v>
      </c>
    </row>
    <row r="920" spans="1:17" s="12" customFormat="1" ht="31.5">
      <c r="A920" s="8" t="s">
        <v>361</v>
      </c>
      <c r="B920" s="10" t="s">
        <v>507</v>
      </c>
      <c r="C920" s="10" t="s">
        <v>11</v>
      </c>
      <c r="D920" s="10">
        <v>12</v>
      </c>
      <c r="E920" s="41" t="s">
        <v>43</v>
      </c>
      <c r="F920" s="10" t="s">
        <v>333</v>
      </c>
      <c r="G920" s="11">
        <v>1165.8</v>
      </c>
      <c r="H920" s="31">
        <v>1295.8</v>
      </c>
      <c r="I920" s="7"/>
      <c r="J920" s="7">
        <f t="shared" si="366"/>
        <v>1295.8</v>
      </c>
      <c r="K920" s="7">
        <v>121.1</v>
      </c>
      <c r="L920" s="7">
        <f t="shared" si="367"/>
        <v>1416.9</v>
      </c>
      <c r="M920" s="7">
        <v>205.9</v>
      </c>
      <c r="N920" s="7">
        <v>1622.8</v>
      </c>
      <c r="O920" s="7">
        <v>1622.8</v>
      </c>
      <c r="P920" s="349">
        <v>1540</v>
      </c>
      <c r="Q920" s="257">
        <v>94.9</v>
      </c>
    </row>
    <row r="921" spans="1:17" s="12" customFormat="1">
      <c r="A921" s="8" t="s">
        <v>362</v>
      </c>
      <c r="B921" s="10" t="s">
        <v>507</v>
      </c>
      <c r="C921" s="10" t="s">
        <v>11</v>
      </c>
      <c r="D921" s="10">
        <v>12</v>
      </c>
      <c r="E921" s="41" t="s">
        <v>43</v>
      </c>
      <c r="F921" s="10" t="s">
        <v>334</v>
      </c>
      <c r="G921" s="11">
        <v>-1316.4</v>
      </c>
      <c r="H921" s="31">
        <v>4077.3</v>
      </c>
      <c r="I921" s="7">
        <v>-2</v>
      </c>
      <c r="J921" s="7">
        <f t="shared" si="366"/>
        <v>4075.3</v>
      </c>
      <c r="K921" s="7">
        <f>-45+636.8</f>
        <v>591.79999999999995</v>
      </c>
      <c r="L921" s="7">
        <f t="shared" si="367"/>
        <v>4667.1000000000004</v>
      </c>
      <c r="M921" s="7">
        <f>-80-10.8</f>
        <v>-90.8</v>
      </c>
      <c r="N921" s="7">
        <v>4576.3</v>
      </c>
      <c r="O921" s="7">
        <v>4576.3</v>
      </c>
      <c r="P921" s="349">
        <v>4432.5</v>
      </c>
      <c r="Q921" s="257">
        <v>96.86</v>
      </c>
    </row>
    <row r="922" spans="1:17" s="21" customFormat="1" ht="78.75">
      <c r="A922" s="8" t="s">
        <v>428</v>
      </c>
      <c r="B922" s="10" t="s">
        <v>507</v>
      </c>
      <c r="C922" s="10" t="s">
        <v>11</v>
      </c>
      <c r="D922" s="10">
        <v>12</v>
      </c>
      <c r="E922" s="41" t="s">
        <v>43</v>
      </c>
      <c r="F922" s="10" t="s">
        <v>427</v>
      </c>
      <c r="G922" s="11">
        <v>2.2000000000000002</v>
      </c>
      <c r="H922" s="31">
        <v>2.2000000000000002</v>
      </c>
      <c r="I922" s="7">
        <f>2+282.5</f>
        <v>284.5</v>
      </c>
      <c r="J922" s="7">
        <f t="shared" si="366"/>
        <v>286.7</v>
      </c>
      <c r="K922" s="7"/>
      <c r="L922" s="7">
        <f t="shared" si="367"/>
        <v>286.7</v>
      </c>
      <c r="M922" s="7"/>
      <c r="N922" s="7">
        <v>286.7</v>
      </c>
      <c r="O922" s="7">
        <v>286.7</v>
      </c>
      <c r="P922" s="349">
        <v>286.60000000000002</v>
      </c>
      <c r="Q922" s="257">
        <v>99.97</v>
      </c>
    </row>
    <row r="923" spans="1:17" s="12" customFormat="1">
      <c r="A923" s="8" t="s">
        <v>384</v>
      </c>
      <c r="B923" s="10" t="s">
        <v>507</v>
      </c>
      <c r="C923" s="10" t="s">
        <v>11</v>
      </c>
      <c r="D923" s="10">
        <v>12</v>
      </c>
      <c r="E923" s="41" t="s">
        <v>43</v>
      </c>
      <c r="F923" s="10" t="s">
        <v>335</v>
      </c>
      <c r="G923" s="11">
        <v>-145.80000000000001</v>
      </c>
      <c r="H923" s="31">
        <v>90</v>
      </c>
      <c r="I923" s="7"/>
      <c r="J923" s="7">
        <f t="shared" si="366"/>
        <v>90</v>
      </c>
      <c r="K923" s="7">
        <v>95</v>
      </c>
      <c r="L923" s="7">
        <f t="shared" si="367"/>
        <v>185</v>
      </c>
      <c r="M923" s="7"/>
      <c r="N923" s="7">
        <v>185</v>
      </c>
      <c r="O923" s="7">
        <v>185</v>
      </c>
      <c r="P923" s="349">
        <v>185</v>
      </c>
      <c r="Q923" s="257">
        <v>100</v>
      </c>
    </row>
    <row r="924" spans="1:17" s="12" customFormat="1">
      <c r="A924" s="8" t="s">
        <v>380</v>
      </c>
      <c r="B924" s="10" t="s">
        <v>507</v>
      </c>
      <c r="C924" s="10" t="s">
        <v>11</v>
      </c>
      <c r="D924" s="10">
        <v>12</v>
      </c>
      <c r="E924" s="41" t="s">
        <v>43</v>
      </c>
      <c r="F924" s="10" t="s">
        <v>336</v>
      </c>
      <c r="G924" s="11">
        <v>0</v>
      </c>
      <c r="H924" s="31">
        <v>70</v>
      </c>
      <c r="I924" s="7"/>
      <c r="J924" s="7">
        <f t="shared" si="366"/>
        <v>70</v>
      </c>
      <c r="K924" s="7">
        <v>-50</v>
      </c>
      <c r="L924" s="7">
        <f t="shared" si="367"/>
        <v>20</v>
      </c>
      <c r="M924" s="7"/>
      <c r="N924" s="7">
        <v>20</v>
      </c>
      <c r="O924" s="7">
        <v>20</v>
      </c>
      <c r="P924" s="349">
        <v>16</v>
      </c>
      <c r="Q924" s="257">
        <v>80</v>
      </c>
    </row>
    <row r="925" spans="1:17" s="12" customFormat="1">
      <c r="A925" s="8" t="s">
        <v>311</v>
      </c>
      <c r="B925" s="10" t="s">
        <v>507</v>
      </c>
      <c r="C925" s="10" t="s">
        <v>11</v>
      </c>
      <c r="D925" s="10">
        <v>12</v>
      </c>
      <c r="E925" s="41" t="s">
        <v>312</v>
      </c>
      <c r="F925" s="10"/>
      <c r="G925" s="11"/>
      <c r="H925" s="31"/>
      <c r="I925" s="7"/>
      <c r="J925" s="7">
        <f t="shared" ref="J925:M926" si="368">J926</f>
        <v>0</v>
      </c>
      <c r="K925" s="7">
        <f t="shared" si="368"/>
        <v>56</v>
      </c>
      <c r="L925" s="7">
        <f t="shared" si="368"/>
        <v>56</v>
      </c>
      <c r="M925" s="7">
        <f t="shared" si="368"/>
        <v>0</v>
      </c>
      <c r="N925" s="7">
        <v>56</v>
      </c>
      <c r="O925" s="7">
        <v>56</v>
      </c>
      <c r="P925" s="349">
        <v>56</v>
      </c>
      <c r="Q925" s="257">
        <v>100</v>
      </c>
    </row>
    <row r="926" spans="1:17" s="12" customFormat="1" ht="47.25">
      <c r="A926" s="33" t="s">
        <v>764</v>
      </c>
      <c r="B926" s="10" t="s">
        <v>507</v>
      </c>
      <c r="C926" s="10" t="s">
        <v>11</v>
      </c>
      <c r="D926" s="10">
        <v>12</v>
      </c>
      <c r="E926" s="41" t="s">
        <v>763</v>
      </c>
      <c r="F926" s="10"/>
      <c r="G926" s="11"/>
      <c r="H926" s="31"/>
      <c r="I926" s="7"/>
      <c r="J926" s="7">
        <f t="shared" si="368"/>
        <v>0</v>
      </c>
      <c r="K926" s="7">
        <f t="shared" si="368"/>
        <v>56</v>
      </c>
      <c r="L926" s="7">
        <f t="shared" si="368"/>
        <v>56</v>
      </c>
      <c r="M926" s="7">
        <f t="shared" si="368"/>
        <v>0</v>
      </c>
      <c r="N926" s="7">
        <v>56</v>
      </c>
      <c r="O926" s="7">
        <v>56</v>
      </c>
      <c r="P926" s="349">
        <v>56</v>
      </c>
      <c r="Q926" s="257">
        <v>100</v>
      </c>
    </row>
    <row r="927" spans="1:17" s="12" customFormat="1">
      <c r="A927" s="8" t="s">
        <v>337</v>
      </c>
      <c r="B927" s="10" t="s">
        <v>507</v>
      </c>
      <c r="C927" s="10" t="s">
        <v>11</v>
      </c>
      <c r="D927" s="10">
        <v>12</v>
      </c>
      <c r="E927" s="41" t="s">
        <v>763</v>
      </c>
      <c r="F927" s="10" t="s">
        <v>331</v>
      </c>
      <c r="G927" s="11"/>
      <c r="H927" s="31"/>
      <c r="I927" s="7"/>
      <c r="J927" s="7"/>
      <c r="K927" s="7">
        <f>17.6+38.4</f>
        <v>56</v>
      </c>
      <c r="L927" s="7">
        <f>J927+K927</f>
        <v>56</v>
      </c>
      <c r="M927" s="7"/>
      <c r="N927" s="7">
        <v>56</v>
      </c>
      <c r="O927" s="7">
        <v>56</v>
      </c>
      <c r="P927" s="349">
        <v>56</v>
      </c>
      <c r="Q927" s="257">
        <v>100</v>
      </c>
    </row>
    <row r="928" spans="1:17" s="12" customFormat="1">
      <c r="A928" s="8" t="s">
        <v>17</v>
      </c>
      <c r="B928" s="10" t="s">
        <v>507</v>
      </c>
      <c r="C928" s="10" t="s">
        <v>11</v>
      </c>
      <c r="D928" s="10" t="s">
        <v>69</v>
      </c>
      <c r="E928" s="10" t="s">
        <v>18</v>
      </c>
      <c r="F928" s="10"/>
      <c r="G928" s="11">
        <v>-6000</v>
      </c>
      <c r="H928" s="11">
        <v>4000</v>
      </c>
      <c r="I928" s="7" t="e">
        <f>#REF!+#REF!+I929</f>
        <v>#REF!</v>
      </c>
      <c r="J928" s="7" t="e">
        <f>#REF!+J929</f>
        <v>#REF!</v>
      </c>
      <c r="K928" s="7" t="e">
        <f>#REF!+K929</f>
        <v>#REF!</v>
      </c>
      <c r="L928" s="7" t="e">
        <f>#REF!+L929</f>
        <v>#REF!</v>
      </c>
      <c r="M928" s="7" t="e">
        <f>#REF!+M929</f>
        <v>#REF!</v>
      </c>
      <c r="N928" s="7">
        <v>1150</v>
      </c>
      <c r="O928" s="7">
        <v>1150</v>
      </c>
      <c r="P928" s="349">
        <v>480</v>
      </c>
      <c r="Q928" s="257">
        <v>41.74</v>
      </c>
    </row>
    <row r="929" spans="1:17" s="12" customFormat="1">
      <c r="A929" s="8" t="s">
        <v>83</v>
      </c>
      <c r="B929" s="10" t="s">
        <v>507</v>
      </c>
      <c r="C929" s="10" t="s">
        <v>11</v>
      </c>
      <c r="D929" s="10" t="s">
        <v>69</v>
      </c>
      <c r="E929" s="10" t="s">
        <v>84</v>
      </c>
      <c r="F929" s="10"/>
      <c r="G929" s="11">
        <v>1000</v>
      </c>
      <c r="H929" s="31">
        <v>1000</v>
      </c>
      <c r="I929" s="7">
        <f>I932</f>
        <v>0</v>
      </c>
      <c r="J929" s="7">
        <f t="shared" ref="J929:M929" si="369">J932+J930</f>
        <v>1000</v>
      </c>
      <c r="K929" s="7">
        <f t="shared" si="369"/>
        <v>150</v>
      </c>
      <c r="L929" s="7">
        <f t="shared" si="369"/>
        <v>1150</v>
      </c>
      <c r="M929" s="7">
        <f t="shared" si="369"/>
        <v>0</v>
      </c>
      <c r="N929" s="7">
        <v>1150</v>
      </c>
      <c r="O929" s="7">
        <v>1150</v>
      </c>
      <c r="P929" s="349">
        <v>480</v>
      </c>
      <c r="Q929" s="257">
        <v>41.74</v>
      </c>
    </row>
    <row r="930" spans="1:17" s="12" customFormat="1" ht="47.25">
      <c r="A930" s="8" t="s">
        <v>537</v>
      </c>
      <c r="B930" s="10" t="s">
        <v>507</v>
      </c>
      <c r="C930" s="10" t="s">
        <v>11</v>
      </c>
      <c r="D930" s="10" t="s">
        <v>69</v>
      </c>
      <c r="E930" s="10" t="s">
        <v>220</v>
      </c>
      <c r="F930" s="10"/>
      <c r="G930" s="11"/>
      <c r="H930" s="31"/>
      <c r="I930" s="7"/>
      <c r="J930" s="7">
        <f t="shared" ref="J930:M930" si="370">J931</f>
        <v>0</v>
      </c>
      <c r="K930" s="7">
        <f t="shared" si="370"/>
        <v>670</v>
      </c>
      <c r="L930" s="7">
        <f t="shared" si="370"/>
        <v>670</v>
      </c>
      <c r="M930" s="7">
        <f t="shared" si="370"/>
        <v>0</v>
      </c>
      <c r="N930" s="7">
        <v>670</v>
      </c>
      <c r="O930" s="7">
        <v>670</v>
      </c>
      <c r="P930" s="349">
        <v>0</v>
      </c>
      <c r="Q930" s="257">
        <v>0</v>
      </c>
    </row>
    <row r="931" spans="1:17" s="12" customFormat="1">
      <c r="A931" s="8" t="s">
        <v>362</v>
      </c>
      <c r="B931" s="10" t="s">
        <v>507</v>
      </c>
      <c r="C931" s="10" t="s">
        <v>11</v>
      </c>
      <c r="D931" s="10" t="s">
        <v>69</v>
      </c>
      <c r="E931" s="10" t="s">
        <v>220</v>
      </c>
      <c r="F931" s="10" t="s">
        <v>334</v>
      </c>
      <c r="G931" s="11"/>
      <c r="H931" s="31"/>
      <c r="I931" s="7"/>
      <c r="J931" s="7"/>
      <c r="K931" s="7">
        <v>670</v>
      </c>
      <c r="L931" s="7">
        <f>J931+K931</f>
        <v>670</v>
      </c>
      <c r="M931" s="7"/>
      <c r="N931" s="7">
        <v>670</v>
      </c>
      <c r="O931" s="7">
        <v>670</v>
      </c>
      <c r="P931" s="349">
        <v>0</v>
      </c>
      <c r="Q931" s="257">
        <v>0</v>
      </c>
    </row>
    <row r="932" spans="1:17" s="12" customFormat="1" ht="47.25">
      <c r="A932" s="8" t="s">
        <v>718</v>
      </c>
      <c r="B932" s="10" t="s">
        <v>507</v>
      </c>
      <c r="C932" s="10" t="s">
        <v>11</v>
      </c>
      <c r="D932" s="10" t="s">
        <v>69</v>
      </c>
      <c r="E932" s="10" t="s">
        <v>717</v>
      </c>
      <c r="F932" s="10"/>
      <c r="G932" s="11">
        <v>1000</v>
      </c>
      <c r="H932" s="31">
        <v>1000</v>
      </c>
      <c r="I932" s="7">
        <f t="shared" ref="I932:M932" si="371">I933</f>
        <v>0</v>
      </c>
      <c r="J932" s="7">
        <f t="shared" si="371"/>
        <v>1000</v>
      </c>
      <c r="K932" s="7">
        <f t="shared" si="371"/>
        <v>-520</v>
      </c>
      <c r="L932" s="7">
        <f t="shared" si="371"/>
        <v>480</v>
      </c>
      <c r="M932" s="7">
        <f t="shared" si="371"/>
        <v>0</v>
      </c>
      <c r="N932" s="7">
        <v>480</v>
      </c>
      <c r="O932" s="7">
        <v>480</v>
      </c>
      <c r="P932" s="349">
        <v>480</v>
      </c>
      <c r="Q932" s="257">
        <v>100</v>
      </c>
    </row>
    <row r="933" spans="1:17" s="12" customFormat="1">
      <c r="A933" s="8" t="s">
        <v>362</v>
      </c>
      <c r="B933" s="10" t="s">
        <v>507</v>
      </c>
      <c r="C933" s="10" t="s">
        <v>11</v>
      </c>
      <c r="D933" s="10" t="s">
        <v>69</v>
      </c>
      <c r="E933" s="10" t="s">
        <v>717</v>
      </c>
      <c r="F933" s="10" t="s">
        <v>334</v>
      </c>
      <c r="G933" s="11">
        <v>1000</v>
      </c>
      <c r="H933" s="31">
        <v>1000</v>
      </c>
      <c r="I933" s="7"/>
      <c r="J933" s="7">
        <f>H933+I933</f>
        <v>1000</v>
      </c>
      <c r="K933" s="7">
        <v>-520</v>
      </c>
      <c r="L933" s="7">
        <f>J933+K933</f>
        <v>480</v>
      </c>
      <c r="M933" s="7"/>
      <c r="N933" s="7">
        <v>480</v>
      </c>
      <c r="O933" s="7">
        <v>480</v>
      </c>
      <c r="P933" s="349">
        <v>480</v>
      </c>
      <c r="Q933" s="257">
        <v>100</v>
      </c>
    </row>
    <row r="934" spans="1:17" s="30" customFormat="1">
      <c r="A934" s="26" t="s">
        <v>137</v>
      </c>
      <c r="B934" s="27" t="s">
        <v>507</v>
      </c>
      <c r="C934" s="27" t="s">
        <v>31</v>
      </c>
      <c r="D934" s="27"/>
      <c r="E934" s="27"/>
      <c r="F934" s="27"/>
      <c r="G934" s="28">
        <v>-185400</v>
      </c>
      <c r="H934" s="28">
        <v>314600</v>
      </c>
      <c r="I934" s="29" t="e">
        <f>I940+#REF!</f>
        <v>#REF!</v>
      </c>
      <c r="J934" s="29" t="e">
        <f>J940+#REF!+J935</f>
        <v>#REF!</v>
      </c>
      <c r="K934" s="29" t="e">
        <f>K940+#REF!+K935</f>
        <v>#REF!</v>
      </c>
      <c r="L934" s="29" t="e">
        <f>L940+#REF!+L935</f>
        <v>#REF!</v>
      </c>
      <c r="M934" s="29" t="e">
        <f>M940+#REF!+M935</f>
        <v>#REF!</v>
      </c>
      <c r="N934" s="29">
        <v>538717.30000000005</v>
      </c>
      <c r="O934" s="29">
        <v>538717.30000000005</v>
      </c>
      <c r="P934" s="348">
        <v>383831.1</v>
      </c>
      <c r="Q934" s="256">
        <v>71.25</v>
      </c>
    </row>
    <row r="935" spans="1:17" s="30" customFormat="1">
      <c r="A935" s="26" t="s">
        <v>470</v>
      </c>
      <c r="B935" s="27" t="s">
        <v>507</v>
      </c>
      <c r="C935" s="27" t="s">
        <v>31</v>
      </c>
      <c r="D935" s="27" t="s">
        <v>16</v>
      </c>
      <c r="E935" s="27"/>
      <c r="F935" s="27"/>
      <c r="G935" s="28"/>
      <c r="H935" s="28"/>
      <c r="I935" s="29"/>
      <c r="J935" s="29">
        <f t="shared" ref="J935:M938" si="372">J936</f>
        <v>0</v>
      </c>
      <c r="K935" s="29">
        <f t="shared" si="372"/>
        <v>2154.9</v>
      </c>
      <c r="L935" s="29">
        <f t="shared" si="372"/>
        <v>2154.9</v>
      </c>
      <c r="M935" s="29">
        <f t="shared" si="372"/>
        <v>2007</v>
      </c>
      <c r="N935" s="29">
        <v>4161.8999999999996</v>
      </c>
      <c r="O935" s="29">
        <v>4161.8999999999996</v>
      </c>
      <c r="P935" s="348">
        <v>4161.5</v>
      </c>
      <c r="Q935" s="256">
        <v>99.99</v>
      </c>
    </row>
    <row r="936" spans="1:17" s="30" customFormat="1">
      <c r="A936" s="8" t="s">
        <v>17</v>
      </c>
      <c r="B936" s="10" t="s">
        <v>507</v>
      </c>
      <c r="C936" s="10" t="s">
        <v>31</v>
      </c>
      <c r="D936" s="10" t="s">
        <v>16</v>
      </c>
      <c r="E936" s="10" t="s">
        <v>18</v>
      </c>
      <c r="F936" s="10"/>
      <c r="G936" s="11"/>
      <c r="H936" s="11"/>
      <c r="I936" s="7"/>
      <c r="J936" s="7">
        <f t="shared" si="372"/>
        <v>0</v>
      </c>
      <c r="K936" s="7">
        <f t="shared" si="372"/>
        <v>2154.9</v>
      </c>
      <c r="L936" s="7">
        <f t="shared" si="372"/>
        <v>2154.9</v>
      </c>
      <c r="M936" s="7">
        <f t="shared" si="372"/>
        <v>2007</v>
      </c>
      <c r="N936" s="7">
        <v>4161.8999999999996</v>
      </c>
      <c r="O936" s="7">
        <v>4161.8999999999996</v>
      </c>
      <c r="P936" s="349">
        <v>4161.5</v>
      </c>
      <c r="Q936" s="257">
        <v>99.99</v>
      </c>
    </row>
    <row r="937" spans="1:17" s="30" customFormat="1">
      <c r="A937" s="8" t="s">
        <v>83</v>
      </c>
      <c r="B937" s="10" t="s">
        <v>507</v>
      </c>
      <c r="C937" s="10" t="s">
        <v>31</v>
      </c>
      <c r="D937" s="10" t="s">
        <v>16</v>
      </c>
      <c r="E937" s="10" t="s">
        <v>84</v>
      </c>
      <c r="F937" s="10"/>
      <c r="G937" s="11"/>
      <c r="H937" s="11"/>
      <c r="I937" s="7"/>
      <c r="J937" s="7">
        <f t="shared" si="372"/>
        <v>0</v>
      </c>
      <c r="K937" s="7">
        <f t="shared" si="372"/>
        <v>2154.9</v>
      </c>
      <c r="L937" s="7">
        <f t="shared" si="372"/>
        <v>2154.9</v>
      </c>
      <c r="M937" s="7">
        <f t="shared" si="372"/>
        <v>2007</v>
      </c>
      <c r="N937" s="7">
        <v>4161.8999999999996</v>
      </c>
      <c r="O937" s="7">
        <v>4161.8999999999996</v>
      </c>
      <c r="P937" s="349">
        <v>4161.5</v>
      </c>
      <c r="Q937" s="257">
        <v>99.99</v>
      </c>
    </row>
    <row r="938" spans="1:17" s="30" customFormat="1" ht="31.5">
      <c r="A938" s="8" t="s">
        <v>880</v>
      </c>
      <c r="B938" s="10" t="s">
        <v>507</v>
      </c>
      <c r="C938" s="10" t="s">
        <v>31</v>
      </c>
      <c r="D938" s="10" t="s">
        <v>16</v>
      </c>
      <c r="E938" s="10" t="s">
        <v>879</v>
      </c>
      <c r="F938" s="10"/>
      <c r="G938" s="11"/>
      <c r="H938" s="11"/>
      <c r="I938" s="7"/>
      <c r="J938" s="7">
        <f t="shared" si="372"/>
        <v>0</v>
      </c>
      <c r="K938" s="7">
        <f t="shared" si="372"/>
        <v>2154.9</v>
      </c>
      <c r="L938" s="7">
        <f t="shared" si="372"/>
        <v>2154.9</v>
      </c>
      <c r="M938" s="7">
        <f t="shared" si="372"/>
        <v>2007</v>
      </c>
      <c r="N938" s="7">
        <v>4161.8999999999996</v>
      </c>
      <c r="O938" s="7">
        <v>4161.8999999999996</v>
      </c>
      <c r="P938" s="349">
        <v>4161.5</v>
      </c>
      <c r="Q938" s="257">
        <v>99.99</v>
      </c>
    </row>
    <row r="939" spans="1:17" s="30" customFormat="1" ht="47.25">
      <c r="A939" s="8" t="s">
        <v>422</v>
      </c>
      <c r="B939" s="10" t="s">
        <v>507</v>
      </c>
      <c r="C939" s="10" t="s">
        <v>31</v>
      </c>
      <c r="D939" s="10" t="s">
        <v>16</v>
      </c>
      <c r="E939" s="10" t="s">
        <v>879</v>
      </c>
      <c r="F939" s="10" t="s">
        <v>375</v>
      </c>
      <c r="G939" s="11"/>
      <c r="H939" s="11"/>
      <c r="I939" s="7"/>
      <c r="J939" s="7"/>
      <c r="K939" s="7">
        <f>2154.9+2154.9-2154.9</f>
        <v>2154.9</v>
      </c>
      <c r="L939" s="7">
        <f>J939+K939</f>
        <v>2154.9</v>
      </c>
      <c r="M939" s="7">
        <f>927+1080</f>
        <v>2007</v>
      </c>
      <c r="N939" s="7">
        <v>4161.8999999999996</v>
      </c>
      <c r="O939" s="7">
        <v>4161.8999999999996</v>
      </c>
      <c r="P939" s="349">
        <v>4161.5</v>
      </c>
      <c r="Q939" s="257">
        <v>99.99</v>
      </c>
    </row>
    <row r="940" spans="1:17" s="30" customFormat="1">
      <c r="A940" s="26" t="s">
        <v>138</v>
      </c>
      <c r="B940" s="27" t="s">
        <v>507</v>
      </c>
      <c r="C940" s="27" t="s">
        <v>31</v>
      </c>
      <c r="D940" s="27" t="s">
        <v>26</v>
      </c>
      <c r="E940" s="27"/>
      <c r="F940" s="27"/>
      <c r="G940" s="28">
        <v>-187600</v>
      </c>
      <c r="H940" s="28">
        <v>312400</v>
      </c>
      <c r="I940" s="29" t="e">
        <f>I944+#REF!</f>
        <v>#REF!</v>
      </c>
      <c r="J940" s="29" t="e">
        <f>J944+#REF!+J941</f>
        <v>#REF!</v>
      </c>
      <c r="K940" s="29" t="e">
        <f>K944+#REF!+K941</f>
        <v>#REF!</v>
      </c>
      <c r="L940" s="29" t="e">
        <f>L944+#REF!+L941</f>
        <v>#REF!</v>
      </c>
      <c r="M940" s="29" t="e">
        <f>M944+#REF!+M941</f>
        <v>#REF!</v>
      </c>
      <c r="N940" s="29">
        <v>534555.4</v>
      </c>
      <c r="O940" s="29">
        <v>534555.4</v>
      </c>
      <c r="P940" s="348">
        <v>379669.6</v>
      </c>
      <c r="Q940" s="256">
        <v>71.03</v>
      </c>
    </row>
    <row r="941" spans="1:17" s="30" customFormat="1" ht="31.5">
      <c r="A941" s="33" t="s">
        <v>996</v>
      </c>
      <c r="B941" s="10" t="s">
        <v>507</v>
      </c>
      <c r="C941" s="10" t="s">
        <v>31</v>
      </c>
      <c r="D941" s="10" t="s">
        <v>26</v>
      </c>
      <c r="E941" s="10" t="s">
        <v>997</v>
      </c>
      <c r="F941" s="10"/>
      <c r="G941" s="11"/>
      <c r="H941" s="11"/>
      <c r="I941" s="7"/>
      <c r="J941" s="7">
        <f t="shared" ref="J941:M942" si="373">J942</f>
        <v>0</v>
      </c>
      <c r="K941" s="7">
        <f t="shared" si="373"/>
        <v>10000</v>
      </c>
      <c r="L941" s="7">
        <f t="shared" si="373"/>
        <v>10000</v>
      </c>
      <c r="M941" s="7">
        <f t="shared" si="373"/>
        <v>123400</v>
      </c>
      <c r="N941" s="7">
        <v>133400</v>
      </c>
      <c r="O941" s="7">
        <v>133400</v>
      </c>
      <c r="P941" s="349">
        <v>10000</v>
      </c>
      <c r="Q941" s="257">
        <v>7.5</v>
      </c>
    </row>
    <row r="942" spans="1:17" s="47" customFormat="1" ht="47.25">
      <c r="A942" s="33" t="s">
        <v>999</v>
      </c>
      <c r="B942" s="55" t="s">
        <v>507</v>
      </c>
      <c r="C942" s="55" t="s">
        <v>31</v>
      </c>
      <c r="D942" s="55" t="s">
        <v>26</v>
      </c>
      <c r="E942" s="55" t="s">
        <v>998</v>
      </c>
      <c r="F942" s="55"/>
      <c r="G942" s="11"/>
      <c r="H942" s="11"/>
      <c r="I942" s="52"/>
      <c r="J942" s="52">
        <f t="shared" si="373"/>
        <v>0</v>
      </c>
      <c r="K942" s="52">
        <f t="shared" si="373"/>
        <v>10000</v>
      </c>
      <c r="L942" s="52">
        <f t="shared" si="373"/>
        <v>10000</v>
      </c>
      <c r="M942" s="52">
        <f t="shared" si="373"/>
        <v>123400</v>
      </c>
      <c r="N942" s="52">
        <v>133400</v>
      </c>
      <c r="O942" s="52">
        <v>133400</v>
      </c>
      <c r="P942" s="349">
        <v>10000</v>
      </c>
      <c r="Q942" s="257">
        <v>7.5</v>
      </c>
    </row>
    <row r="943" spans="1:17" s="30" customFormat="1" ht="47.25">
      <c r="A943" s="8" t="s">
        <v>663</v>
      </c>
      <c r="B943" s="10" t="s">
        <v>507</v>
      </c>
      <c r="C943" s="10" t="s">
        <v>31</v>
      </c>
      <c r="D943" s="10" t="s">
        <v>26</v>
      </c>
      <c r="E943" s="10" t="s">
        <v>998</v>
      </c>
      <c r="F943" s="10" t="s">
        <v>386</v>
      </c>
      <c r="G943" s="11"/>
      <c r="H943" s="11"/>
      <c r="I943" s="7"/>
      <c r="J943" s="7"/>
      <c r="K943" s="7">
        <v>10000</v>
      </c>
      <c r="L943" s="7">
        <f>J943+K943</f>
        <v>10000</v>
      </c>
      <c r="M943" s="7">
        <v>123400</v>
      </c>
      <c r="N943" s="7">
        <v>133400</v>
      </c>
      <c r="O943" s="7">
        <v>133400</v>
      </c>
      <c r="P943" s="349">
        <v>10000</v>
      </c>
      <c r="Q943" s="257">
        <v>7.5</v>
      </c>
    </row>
    <row r="944" spans="1:17" s="12" customFormat="1">
      <c r="A944" s="8" t="s">
        <v>17</v>
      </c>
      <c r="B944" s="10" t="s">
        <v>507</v>
      </c>
      <c r="C944" s="10" t="s">
        <v>31</v>
      </c>
      <c r="D944" s="10" t="s">
        <v>26</v>
      </c>
      <c r="E944" s="10" t="s">
        <v>18</v>
      </c>
      <c r="F944" s="10"/>
      <c r="G944" s="11">
        <v>-194000</v>
      </c>
      <c r="H944" s="11">
        <v>306000</v>
      </c>
      <c r="I944" s="7" t="e">
        <f>I949+I952+I947+I945</f>
        <v>#REF!</v>
      </c>
      <c r="J944" s="7">
        <f>J949+J952+J947+J945</f>
        <v>384555.4</v>
      </c>
      <c r="K944" s="7">
        <f t="shared" ref="K944:M944" si="374">K949+K952+K947+K945+K955</f>
        <v>16600</v>
      </c>
      <c r="L944" s="7">
        <f t="shared" si="374"/>
        <v>401155.4</v>
      </c>
      <c r="M944" s="7">
        <f t="shared" si="374"/>
        <v>0</v>
      </c>
      <c r="N944" s="7">
        <v>401155.4</v>
      </c>
      <c r="O944" s="7">
        <v>401155.4</v>
      </c>
      <c r="P944" s="349">
        <v>369669.6</v>
      </c>
      <c r="Q944" s="257">
        <v>92.15</v>
      </c>
    </row>
    <row r="945" spans="1:17" s="12" customFormat="1" ht="31.5">
      <c r="A945" s="8" t="s">
        <v>705</v>
      </c>
      <c r="B945" s="10" t="s">
        <v>507</v>
      </c>
      <c r="C945" s="10" t="s">
        <v>31</v>
      </c>
      <c r="D945" s="10" t="s">
        <v>26</v>
      </c>
      <c r="E945" s="10" t="s">
        <v>703</v>
      </c>
      <c r="F945" s="10"/>
      <c r="G945" s="11"/>
      <c r="H945" s="11">
        <f t="shared" ref="H945:M945" si="375">H946</f>
        <v>0</v>
      </c>
      <c r="I945" s="11">
        <f t="shared" si="375"/>
        <v>4585</v>
      </c>
      <c r="J945" s="11">
        <f t="shared" si="375"/>
        <v>4585</v>
      </c>
      <c r="K945" s="11">
        <f t="shared" si="375"/>
        <v>0</v>
      </c>
      <c r="L945" s="11">
        <f t="shared" si="375"/>
        <v>4585</v>
      </c>
      <c r="M945" s="11">
        <f t="shared" si="375"/>
        <v>0</v>
      </c>
      <c r="N945" s="11">
        <v>4585</v>
      </c>
      <c r="O945" s="52">
        <v>4585</v>
      </c>
      <c r="P945" s="349">
        <v>4585</v>
      </c>
      <c r="Q945" s="257">
        <v>100</v>
      </c>
    </row>
    <row r="946" spans="1:17" s="12" customFormat="1" ht="47.25">
      <c r="A946" s="8" t="s">
        <v>468</v>
      </c>
      <c r="B946" s="10" t="s">
        <v>507</v>
      </c>
      <c r="C946" s="10" t="s">
        <v>31</v>
      </c>
      <c r="D946" s="10" t="s">
        <v>26</v>
      </c>
      <c r="E946" s="10" t="s">
        <v>703</v>
      </c>
      <c r="F946" s="10" t="s">
        <v>446</v>
      </c>
      <c r="G946" s="11"/>
      <c r="H946" s="11"/>
      <c r="I946" s="7">
        <v>4585</v>
      </c>
      <c r="J946" s="7">
        <f>H946+I946</f>
        <v>4585</v>
      </c>
      <c r="K946" s="7"/>
      <c r="L946" s="7">
        <f>J946+K946</f>
        <v>4585</v>
      </c>
      <c r="M946" s="7"/>
      <c r="N946" s="7">
        <v>4585</v>
      </c>
      <c r="O946" s="7">
        <v>4585</v>
      </c>
      <c r="P946" s="349">
        <v>4585</v>
      </c>
      <c r="Q946" s="257">
        <v>100</v>
      </c>
    </row>
    <row r="947" spans="1:17" s="12" customFormat="1" ht="31.5">
      <c r="A947" s="9" t="s">
        <v>836</v>
      </c>
      <c r="B947" s="10" t="s">
        <v>507</v>
      </c>
      <c r="C947" s="10" t="s">
        <v>31</v>
      </c>
      <c r="D947" s="10" t="s">
        <v>26</v>
      </c>
      <c r="E947" s="10" t="s">
        <v>835</v>
      </c>
      <c r="F947" s="10"/>
      <c r="G947" s="11"/>
      <c r="H947" s="11">
        <f t="shared" ref="H947:M947" si="376">H948</f>
        <v>0</v>
      </c>
      <c r="I947" s="11">
        <f t="shared" si="376"/>
        <v>980</v>
      </c>
      <c r="J947" s="11">
        <f t="shared" si="376"/>
        <v>980</v>
      </c>
      <c r="K947" s="11">
        <f t="shared" si="376"/>
        <v>0</v>
      </c>
      <c r="L947" s="11">
        <f t="shared" si="376"/>
        <v>980</v>
      </c>
      <c r="M947" s="11">
        <f t="shared" si="376"/>
        <v>0</v>
      </c>
      <c r="N947" s="11">
        <v>980</v>
      </c>
      <c r="O947" s="52">
        <v>980</v>
      </c>
      <c r="P947" s="349">
        <v>980</v>
      </c>
      <c r="Q947" s="257">
        <v>100</v>
      </c>
    </row>
    <row r="948" spans="1:17" s="12" customFormat="1" ht="31.5">
      <c r="A948" s="9" t="s">
        <v>339</v>
      </c>
      <c r="B948" s="10" t="s">
        <v>507</v>
      </c>
      <c r="C948" s="10" t="s">
        <v>31</v>
      </c>
      <c r="D948" s="10" t="s">
        <v>26</v>
      </c>
      <c r="E948" s="10" t="s">
        <v>835</v>
      </c>
      <c r="F948" s="10" t="s">
        <v>334</v>
      </c>
      <c r="G948" s="11"/>
      <c r="H948" s="11"/>
      <c r="I948" s="7">
        <v>980</v>
      </c>
      <c r="J948" s="7">
        <f>H948+I948</f>
        <v>980</v>
      </c>
      <c r="K948" s="7"/>
      <c r="L948" s="7">
        <f>J948+K948</f>
        <v>980</v>
      </c>
      <c r="M948" s="7"/>
      <c r="N948" s="7">
        <v>980</v>
      </c>
      <c r="O948" s="7">
        <v>980</v>
      </c>
      <c r="P948" s="349">
        <v>980</v>
      </c>
      <c r="Q948" s="257">
        <v>100</v>
      </c>
    </row>
    <row r="949" spans="1:17" s="12" customFormat="1" ht="47.25">
      <c r="A949" s="8" t="s">
        <v>221</v>
      </c>
      <c r="B949" s="10" t="s">
        <v>507</v>
      </c>
      <c r="C949" s="10" t="s">
        <v>31</v>
      </c>
      <c r="D949" s="10" t="s">
        <v>26</v>
      </c>
      <c r="E949" s="10" t="s">
        <v>222</v>
      </c>
      <c r="F949" s="10"/>
      <c r="G949" s="11">
        <v>6000</v>
      </c>
      <c r="H949" s="11">
        <v>6000</v>
      </c>
      <c r="I949" s="7">
        <f t="shared" ref="I949:M950" si="377">I950</f>
        <v>0</v>
      </c>
      <c r="J949" s="7">
        <f t="shared" si="377"/>
        <v>6000</v>
      </c>
      <c r="K949" s="7">
        <f t="shared" si="377"/>
        <v>700</v>
      </c>
      <c r="L949" s="7">
        <f t="shared" si="377"/>
        <v>6700</v>
      </c>
      <c r="M949" s="7">
        <f t="shared" si="377"/>
        <v>0</v>
      </c>
      <c r="N949" s="7">
        <v>6700</v>
      </c>
      <c r="O949" s="7">
        <v>6700</v>
      </c>
      <c r="P949" s="349">
        <v>6700</v>
      </c>
      <c r="Q949" s="257">
        <v>100</v>
      </c>
    </row>
    <row r="950" spans="1:17" s="12" customFormat="1" ht="47.25">
      <c r="A950" s="8" t="s">
        <v>710</v>
      </c>
      <c r="B950" s="10" t="s">
        <v>507</v>
      </c>
      <c r="C950" s="10" t="s">
        <v>31</v>
      </c>
      <c r="D950" s="10" t="s">
        <v>26</v>
      </c>
      <c r="E950" s="10" t="s">
        <v>711</v>
      </c>
      <c r="F950" s="10"/>
      <c r="G950" s="11">
        <v>6000</v>
      </c>
      <c r="H950" s="11">
        <v>6000</v>
      </c>
      <c r="I950" s="7">
        <f t="shared" si="377"/>
        <v>0</v>
      </c>
      <c r="J950" s="7">
        <f t="shared" si="377"/>
        <v>6000</v>
      </c>
      <c r="K950" s="7">
        <f t="shared" si="377"/>
        <v>700</v>
      </c>
      <c r="L950" s="7">
        <f t="shared" si="377"/>
        <v>6700</v>
      </c>
      <c r="M950" s="7">
        <f t="shared" si="377"/>
        <v>0</v>
      </c>
      <c r="N950" s="7">
        <v>6700</v>
      </c>
      <c r="O950" s="7">
        <v>6700</v>
      </c>
      <c r="P950" s="349">
        <v>6700</v>
      </c>
      <c r="Q950" s="257">
        <v>100</v>
      </c>
    </row>
    <row r="951" spans="1:17" s="12" customFormat="1" ht="31.5">
      <c r="A951" s="8" t="s">
        <v>361</v>
      </c>
      <c r="B951" s="10" t="s">
        <v>507</v>
      </c>
      <c r="C951" s="10" t="s">
        <v>31</v>
      </c>
      <c r="D951" s="10" t="s">
        <v>26</v>
      </c>
      <c r="E951" s="10" t="s">
        <v>711</v>
      </c>
      <c r="F951" s="10" t="s">
        <v>333</v>
      </c>
      <c r="G951" s="11">
        <v>6000</v>
      </c>
      <c r="H951" s="11">
        <v>6000</v>
      </c>
      <c r="I951" s="7"/>
      <c r="J951" s="7">
        <f>H951+I951</f>
        <v>6000</v>
      </c>
      <c r="K951" s="7">
        <v>700</v>
      </c>
      <c r="L951" s="7">
        <f>J951+K951</f>
        <v>6700</v>
      </c>
      <c r="M951" s="7"/>
      <c r="N951" s="7">
        <v>6700</v>
      </c>
      <c r="O951" s="7">
        <v>6700</v>
      </c>
      <c r="P951" s="349">
        <v>6700</v>
      </c>
      <c r="Q951" s="257">
        <v>100</v>
      </c>
    </row>
    <row r="952" spans="1:17" s="12" customFormat="1" ht="47.25">
      <c r="A952" s="8" t="s">
        <v>423</v>
      </c>
      <c r="B952" s="10" t="s">
        <v>507</v>
      </c>
      <c r="C952" s="10" t="s">
        <v>31</v>
      </c>
      <c r="D952" s="10" t="s">
        <v>26</v>
      </c>
      <c r="E952" s="10" t="s">
        <v>315</v>
      </c>
      <c r="F952" s="10"/>
      <c r="G952" s="11">
        <v>-200000</v>
      </c>
      <c r="H952" s="11">
        <v>300000</v>
      </c>
      <c r="I952" s="7" t="e">
        <f>I953+#REF!+I954</f>
        <v>#REF!</v>
      </c>
      <c r="J952" s="7">
        <f t="shared" ref="J952:M952" si="378">J953+J954</f>
        <v>372990.4</v>
      </c>
      <c r="K952" s="7">
        <f t="shared" si="378"/>
        <v>0</v>
      </c>
      <c r="L952" s="7">
        <f t="shared" si="378"/>
        <v>372990.4</v>
      </c>
      <c r="M952" s="7">
        <f t="shared" si="378"/>
        <v>0</v>
      </c>
      <c r="N952" s="7">
        <v>372990.4</v>
      </c>
      <c r="O952" s="7">
        <v>372990.4</v>
      </c>
      <c r="P952" s="349">
        <v>341672.5</v>
      </c>
      <c r="Q952" s="257">
        <v>91.6</v>
      </c>
    </row>
    <row r="953" spans="1:17" s="12" customFormat="1" ht="47.25">
      <c r="A953" s="8" t="s">
        <v>663</v>
      </c>
      <c r="B953" s="10" t="s">
        <v>507</v>
      </c>
      <c r="C953" s="10" t="s">
        <v>31</v>
      </c>
      <c r="D953" s="10" t="s">
        <v>26</v>
      </c>
      <c r="E953" s="10" t="s">
        <v>315</v>
      </c>
      <c r="F953" s="10" t="s">
        <v>386</v>
      </c>
      <c r="G953" s="11">
        <v>300000</v>
      </c>
      <c r="H953" s="11">
        <v>300000</v>
      </c>
      <c r="I953" s="7">
        <f>-1900+72990.4+19000-19000</f>
        <v>71090.399999999994</v>
      </c>
      <c r="J953" s="7">
        <f>H953+I953</f>
        <v>371090.4</v>
      </c>
      <c r="K953" s="7">
        <f>3000-10500-2958.6-18800+29258.6</f>
        <v>0</v>
      </c>
      <c r="L953" s="7">
        <f>J953+K953</f>
        <v>371090.4</v>
      </c>
      <c r="M953" s="7">
        <f>25435.5-25035.5-400</f>
        <v>0</v>
      </c>
      <c r="N953" s="7">
        <v>371090.4</v>
      </c>
      <c r="O953" s="7">
        <v>371090.4</v>
      </c>
      <c r="P953" s="349">
        <v>339772.5</v>
      </c>
      <c r="Q953" s="257">
        <v>91.56</v>
      </c>
    </row>
    <row r="954" spans="1:17" s="12" customFormat="1" ht="47.25">
      <c r="A954" s="8" t="s">
        <v>468</v>
      </c>
      <c r="B954" s="10" t="s">
        <v>507</v>
      </c>
      <c r="C954" s="10" t="s">
        <v>31</v>
      </c>
      <c r="D954" s="10" t="s">
        <v>26</v>
      </c>
      <c r="E954" s="10" t="s">
        <v>315</v>
      </c>
      <c r="F954" s="10" t="s">
        <v>446</v>
      </c>
      <c r="G954" s="11"/>
      <c r="H954" s="11"/>
      <c r="I954" s="7">
        <v>1900</v>
      </c>
      <c r="J954" s="7">
        <f>H954+I954</f>
        <v>1900</v>
      </c>
      <c r="K954" s="7"/>
      <c r="L954" s="7">
        <f>J954+K954</f>
        <v>1900</v>
      </c>
      <c r="M954" s="7"/>
      <c r="N954" s="7">
        <v>1900</v>
      </c>
      <c r="O954" s="7">
        <v>1900</v>
      </c>
      <c r="P954" s="349">
        <v>1900</v>
      </c>
      <c r="Q954" s="257">
        <v>100</v>
      </c>
    </row>
    <row r="955" spans="1:17" s="12" customFormat="1">
      <c r="A955" s="8" t="s">
        <v>929</v>
      </c>
      <c r="B955" s="10" t="s">
        <v>507</v>
      </c>
      <c r="C955" s="10" t="s">
        <v>31</v>
      </c>
      <c r="D955" s="10" t="s">
        <v>26</v>
      </c>
      <c r="E955" s="10" t="s">
        <v>928</v>
      </c>
      <c r="F955" s="10"/>
      <c r="G955" s="11"/>
      <c r="H955" s="11"/>
      <c r="I955" s="7"/>
      <c r="J955" s="7">
        <f t="shared" ref="J955:M955" si="379">J956+J957</f>
        <v>0</v>
      </c>
      <c r="K955" s="7">
        <f t="shared" si="379"/>
        <v>15900</v>
      </c>
      <c r="L955" s="7">
        <f t="shared" si="379"/>
        <v>15900</v>
      </c>
      <c r="M955" s="7">
        <f t="shared" si="379"/>
        <v>0</v>
      </c>
      <c r="N955" s="7">
        <v>15900</v>
      </c>
      <c r="O955" s="7">
        <v>15900</v>
      </c>
      <c r="P955" s="349">
        <v>15732.1</v>
      </c>
      <c r="Q955" s="257">
        <v>98.94</v>
      </c>
    </row>
    <row r="956" spans="1:17" s="12" customFormat="1">
      <c r="A956" s="8" t="s">
        <v>362</v>
      </c>
      <c r="B956" s="10" t="s">
        <v>507</v>
      </c>
      <c r="C956" s="10" t="s">
        <v>31</v>
      </c>
      <c r="D956" s="10" t="s">
        <v>26</v>
      </c>
      <c r="E956" s="10" t="s">
        <v>928</v>
      </c>
      <c r="F956" s="10" t="s">
        <v>334</v>
      </c>
      <c r="G956" s="11"/>
      <c r="H956" s="11"/>
      <c r="I956" s="7"/>
      <c r="J956" s="7"/>
      <c r="K956" s="7">
        <v>3500</v>
      </c>
      <c r="L956" s="7">
        <f>J956+K956</f>
        <v>3500</v>
      </c>
      <c r="M956" s="7"/>
      <c r="N956" s="7">
        <v>3500</v>
      </c>
      <c r="O956" s="7">
        <v>3500</v>
      </c>
      <c r="P956" s="349">
        <v>3332.1</v>
      </c>
      <c r="Q956" s="257">
        <v>95.2</v>
      </c>
    </row>
    <row r="957" spans="1:17" s="12" customFormat="1" ht="47.25">
      <c r="A957" s="8" t="s">
        <v>422</v>
      </c>
      <c r="B957" s="10" t="s">
        <v>507</v>
      </c>
      <c r="C957" s="10" t="s">
        <v>31</v>
      </c>
      <c r="D957" s="10" t="s">
        <v>26</v>
      </c>
      <c r="E957" s="10" t="s">
        <v>928</v>
      </c>
      <c r="F957" s="10" t="s">
        <v>375</v>
      </c>
      <c r="G957" s="11"/>
      <c r="H957" s="11"/>
      <c r="I957" s="7"/>
      <c r="J957" s="7"/>
      <c r="K957" s="7">
        <f>9400+2500+3000-2500</f>
        <v>12400</v>
      </c>
      <c r="L957" s="7">
        <f>J957+K957</f>
        <v>12400</v>
      </c>
      <c r="M957" s="7"/>
      <c r="N957" s="7">
        <v>12400</v>
      </c>
      <c r="O957" s="7">
        <v>12400</v>
      </c>
      <c r="P957" s="349">
        <v>12400</v>
      </c>
      <c r="Q957" s="257">
        <v>100</v>
      </c>
    </row>
    <row r="958" spans="1:17" s="30" customFormat="1">
      <c r="A958" s="26" t="s">
        <v>8</v>
      </c>
      <c r="B958" s="27" t="s">
        <v>507</v>
      </c>
      <c r="C958" s="27" t="s">
        <v>9</v>
      </c>
      <c r="D958" s="27"/>
      <c r="E958" s="27"/>
      <c r="F958" s="27"/>
      <c r="G958" s="28">
        <v>3000</v>
      </c>
      <c r="H958" s="28">
        <v>3200</v>
      </c>
      <c r="I958" s="29" t="e">
        <f>I966</f>
        <v>#REF!</v>
      </c>
      <c r="J958" s="29" t="e">
        <f t="shared" ref="J958:M958" si="380">J966+J959</f>
        <v>#REF!</v>
      </c>
      <c r="K958" s="29" t="e">
        <f t="shared" si="380"/>
        <v>#REF!</v>
      </c>
      <c r="L958" s="29" t="e">
        <f t="shared" si="380"/>
        <v>#REF!</v>
      </c>
      <c r="M958" s="29" t="e">
        <f t="shared" si="380"/>
        <v>#REF!</v>
      </c>
      <c r="N958" s="29">
        <v>8765.4</v>
      </c>
      <c r="O958" s="29">
        <v>8765.4</v>
      </c>
      <c r="P958" s="348">
        <v>8645.9</v>
      </c>
      <c r="Q958" s="256">
        <v>98.64</v>
      </c>
    </row>
    <row r="959" spans="1:17" s="30" customFormat="1" ht="31.5">
      <c r="A959" s="26" t="s">
        <v>696</v>
      </c>
      <c r="B959" s="27" t="s">
        <v>507</v>
      </c>
      <c r="C959" s="27" t="s">
        <v>9</v>
      </c>
      <c r="D959" s="27" t="s">
        <v>26</v>
      </c>
      <c r="E959" s="10"/>
      <c r="F959" s="10"/>
      <c r="G959" s="11"/>
      <c r="H959" s="11"/>
      <c r="I959" s="7"/>
      <c r="J959" s="29">
        <f t="shared" ref="J959:M959" si="381">J963+J960</f>
        <v>0</v>
      </c>
      <c r="K959" s="29">
        <f t="shared" si="381"/>
        <v>8565.4</v>
      </c>
      <c r="L959" s="29">
        <f t="shared" si="381"/>
        <v>8565.4</v>
      </c>
      <c r="M959" s="29">
        <f t="shared" si="381"/>
        <v>0</v>
      </c>
      <c r="N959" s="29">
        <v>8565.4</v>
      </c>
      <c r="O959" s="29">
        <v>8565.4</v>
      </c>
      <c r="P959" s="348">
        <v>8565.4</v>
      </c>
      <c r="Q959" s="256">
        <v>100</v>
      </c>
    </row>
    <row r="960" spans="1:17" s="30" customFormat="1" ht="47.25">
      <c r="A960" s="33" t="s">
        <v>980</v>
      </c>
      <c r="B960" s="44" t="s">
        <v>507</v>
      </c>
      <c r="C960" s="44" t="s">
        <v>9</v>
      </c>
      <c r="D960" s="44" t="s">
        <v>26</v>
      </c>
      <c r="E960" s="44" t="s">
        <v>981</v>
      </c>
      <c r="F960" s="10"/>
      <c r="G960" s="11"/>
      <c r="H960" s="11"/>
      <c r="I960" s="7"/>
      <c r="J960" s="7">
        <f t="shared" ref="J960:M961" si="382">J961</f>
        <v>0</v>
      </c>
      <c r="K960" s="7">
        <f t="shared" si="382"/>
        <v>6056.1</v>
      </c>
      <c r="L960" s="7">
        <f t="shared" si="382"/>
        <v>6056.1</v>
      </c>
      <c r="M960" s="7">
        <f t="shared" si="382"/>
        <v>0</v>
      </c>
      <c r="N960" s="7">
        <v>6056.1</v>
      </c>
      <c r="O960" s="7">
        <v>6056.1</v>
      </c>
      <c r="P960" s="349">
        <v>6056.1</v>
      </c>
      <c r="Q960" s="257">
        <v>100</v>
      </c>
    </row>
    <row r="961" spans="1:17" s="30" customFormat="1" ht="63">
      <c r="A961" s="33" t="s">
        <v>983</v>
      </c>
      <c r="B961" s="10" t="s">
        <v>507</v>
      </c>
      <c r="C961" s="10" t="s">
        <v>9</v>
      </c>
      <c r="D961" s="10" t="s">
        <v>26</v>
      </c>
      <c r="E961" s="10" t="s">
        <v>982</v>
      </c>
      <c r="F961" s="10"/>
      <c r="G961" s="11"/>
      <c r="H961" s="11"/>
      <c r="I961" s="7"/>
      <c r="J961" s="7">
        <f t="shared" si="382"/>
        <v>0</v>
      </c>
      <c r="K961" s="7">
        <f t="shared" si="382"/>
        <v>6056.1</v>
      </c>
      <c r="L961" s="7">
        <f t="shared" si="382"/>
        <v>6056.1</v>
      </c>
      <c r="M961" s="7">
        <f t="shared" si="382"/>
        <v>0</v>
      </c>
      <c r="N961" s="7">
        <v>6056.1</v>
      </c>
      <c r="O961" s="7">
        <v>6056.1</v>
      </c>
      <c r="P961" s="349">
        <v>6056.1</v>
      </c>
      <c r="Q961" s="257">
        <v>100</v>
      </c>
    </row>
    <row r="962" spans="1:17" s="30" customFormat="1" ht="47.25">
      <c r="A962" s="8" t="s">
        <v>468</v>
      </c>
      <c r="B962" s="10" t="s">
        <v>507</v>
      </c>
      <c r="C962" s="10" t="s">
        <v>9</v>
      </c>
      <c r="D962" s="10" t="s">
        <v>26</v>
      </c>
      <c r="E962" s="10" t="s">
        <v>982</v>
      </c>
      <c r="F962" s="10" t="s">
        <v>446</v>
      </c>
      <c r="G962" s="11"/>
      <c r="H962" s="11"/>
      <c r="I962" s="7"/>
      <c r="J962" s="7"/>
      <c r="K962" s="7">
        <v>6056.1</v>
      </c>
      <c r="L962" s="7">
        <f>J962+K962</f>
        <v>6056.1</v>
      </c>
      <c r="M962" s="7"/>
      <c r="N962" s="7">
        <v>6056.1</v>
      </c>
      <c r="O962" s="7">
        <v>6056.1</v>
      </c>
      <c r="P962" s="349">
        <v>6056.1</v>
      </c>
      <c r="Q962" s="257">
        <v>100</v>
      </c>
    </row>
    <row r="963" spans="1:17" s="30" customFormat="1">
      <c r="A963" s="8" t="s">
        <v>17</v>
      </c>
      <c r="B963" s="10" t="s">
        <v>507</v>
      </c>
      <c r="C963" s="10" t="s">
        <v>9</v>
      </c>
      <c r="D963" s="10" t="s">
        <v>26</v>
      </c>
      <c r="E963" s="10" t="s">
        <v>18</v>
      </c>
      <c r="F963" s="10"/>
      <c r="G963" s="11"/>
      <c r="H963" s="11"/>
      <c r="I963" s="7"/>
      <c r="J963" s="7">
        <f t="shared" ref="J963:M964" si="383">J964</f>
        <v>0</v>
      </c>
      <c r="K963" s="7">
        <f t="shared" si="383"/>
        <v>2509.3000000000002</v>
      </c>
      <c r="L963" s="7">
        <f t="shared" si="383"/>
        <v>2509.3000000000002</v>
      </c>
      <c r="M963" s="7">
        <f t="shared" si="383"/>
        <v>0</v>
      </c>
      <c r="N963" s="7">
        <v>2509.3000000000002</v>
      </c>
      <c r="O963" s="7">
        <v>2509.3000000000002</v>
      </c>
      <c r="P963" s="349">
        <v>2509.3000000000002</v>
      </c>
      <c r="Q963" s="257">
        <v>100</v>
      </c>
    </row>
    <row r="964" spans="1:17" s="30" customFormat="1" ht="63">
      <c r="A964" s="8" t="s">
        <v>697</v>
      </c>
      <c r="B964" s="10" t="s">
        <v>507</v>
      </c>
      <c r="C964" s="10" t="s">
        <v>9</v>
      </c>
      <c r="D964" s="10" t="s">
        <v>26</v>
      </c>
      <c r="E964" s="10" t="s">
        <v>230</v>
      </c>
      <c r="F964" s="10"/>
      <c r="G964" s="11"/>
      <c r="H964" s="11"/>
      <c r="I964" s="7"/>
      <c r="J964" s="7">
        <f t="shared" si="383"/>
        <v>0</v>
      </c>
      <c r="K964" s="7">
        <f t="shared" si="383"/>
        <v>2509.3000000000002</v>
      </c>
      <c r="L964" s="7">
        <f t="shared" si="383"/>
        <v>2509.3000000000002</v>
      </c>
      <c r="M964" s="7">
        <f t="shared" si="383"/>
        <v>0</v>
      </c>
      <c r="N964" s="7">
        <v>2509.3000000000002</v>
      </c>
      <c r="O964" s="7">
        <v>2509.3000000000002</v>
      </c>
      <c r="P964" s="349">
        <v>2509.3000000000002</v>
      </c>
      <c r="Q964" s="257">
        <v>100</v>
      </c>
    </row>
    <row r="965" spans="1:17" s="30" customFormat="1" ht="47.25">
      <c r="A965" s="8" t="s">
        <v>468</v>
      </c>
      <c r="B965" s="10" t="s">
        <v>507</v>
      </c>
      <c r="C965" s="10" t="s">
        <v>9</v>
      </c>
      <c r="D965" s="10" t="s">
        <v>26</v>
      </c>
      <c r="E965" s="10" t="s">
        <v>230</v>
      </c>
      <c r="F965" s="10" t="s">
        <v>446</v>
      </c>
      <c r="G965" s="11"/>
      <c r="H965" s="11"/>
      <c r="I965" s="7"/>
      <c r="J965" s="7"/>
      <c r="K965" s="7">
        <f>394.6+2114.7</f>
        <v>2509.3000000000002</v>
      </c>
      <c r="L965" s="7">
        <f>J965+K965</f>
        <v>2509.3000000000002</v>
      </c>
      <c r="M965" s="7"/>
      <c r="N965" s="7">
        <v>2509.3000000000002</v>
      </c>
      <c r="O965" s="7">
        <v>2509.3000000000002</v>
      </c>
      <c r="P965" s="349">
        <v>2509.3000000000002</v>
      </c>
      <c r="Q965" s="257">
        <v>100</v>
      </c>
    </row>
    <row r="966" spans="1:17" s="30" customFormat="1" ht="31.5">
      <c r="A966" s="26" t="s">
        <v>75</v>
      </c>
      <c r="B966" s="27" t="s">
        <v>507</v>
      </c>
      <c r="C966" s="27" t="s">
        <v>9</v>
      </c>
      <c r="D966" s="27" t="s">
        <v>31</v>
      </c>
      <c r="E966" s="27"/>
      <c r="F966" s="27"/>
      <c r="G966" s="28">
        <v>3000</v>
      </c>
      <c r="H966" s="28">
        <v>3200</v>
      </c>
      <c r="I966" s="29" t="e">
        <f>#REF!+I967</f>
        <v>#REF!</v>
      </c>
      <c r="J966" s="29" t="e">
        <f>#REF!+J967</f>
        <v>#REF!</v>
      </c>
      <c r="K966" s="29" t="e">
        <f>#REF!+K967</f>
        <v>#REF!</v>
      </c>
      <c r="L966" s="29" t="e">
        <f>#REF!+L967</f>
        <v>#REF!</v>
      </c>
      <c r="M966" s="29" t="e">
        <f>#REF!+M967</f>
        <v>#REF!</v>
      </c>
      <c r="N966" s="29">
        <v>200</v>
      </c>
      <c r="O966" s="29">
        <v>200</v>
      </c>
      <c r="P966" s="348">
        <v>80.5</v>
      </c>
      <c r="Q966" s="256">
        <v>40.25</v>
      </c>
    </row>
    <row r="967" spans="1:17" s="12" customFormat="1">
      <c r="A967" s="8" t="s">
        <v>343</v>
      </c>
      <c r="B967" s="10" t="s">
        <v>507</v>
      </c>
      <c r="C967" s="10" t="s">
        <v>9</v>
      </c>
      <c r="D967" s="10" t="s">
        <v>31</v>
      </c>
      <c r="E967" s="10" t="s">
        <v>342</v>
      </c>
      <c r="F967" s="10"/>
      <c r="G967" s="11">
        <v>0</v>
      </c>
      <c r="H967" s="11">
        <v>200</v>
      </c>
      <c r="I967" s="7">
        <f t="shared" ref="I967:M967" si="384">I968</f>
        <v>0</v>
      </c>
      <c r="J967" s="7">
        <f t="shared" si="384"/>
        <v>200</v>
      </c>
      <c r="K967" s="7">
        <f t="shared" si="384"/>
        <v>0</v>
      </c>
      <c r="L967" s="7">
        <f t="shared" si="384"/>
        <v>200</v>
      </c>
      <c r="M967" s="7">
        <f t="shared" si="384"/>
        <v>0</v>
      </c>
      <c r="N967" s="7">
        <v>200</v>
      </c>
      <c r="O967" s="7">
        <v>200</v>
      </c>
      <c r="P967" s="349">
        <v>80.5</v>
      </c>
      <c r="Q967" s="257">
        <v>40.25</v>
      </c>
    </row>
    <row r="968" spans="1:17" s="12" customFormat="1" ht="31.5">
      <c r="A968" s="8" t="s">
        <v>471</v>
      </c>
      <c r="B968" s="10" t="s">
        <v>507</v>
      </c>
      <c r="C968" s="10" t="s">
        <v>9</v>
      </c>
      <c r="D968" s="10" t="s">
        <v>31</v>
      </c>
      <c r="E968" s="10" t="s">
        <v>344</v>
      </c>
      <c r="F968" s="10"/>
      <c r="G968" s="11">
        <v>0</v>
      </c>
      <c r="H968" s="11">
        <v>200</v>
      </c>
      <c r="I968" s="7">
        <f t="shared" ref="I968:M968" si="385">I969+I970</f>
        <v>0</v>
      </c>
      <c r="J968" s="7">
        <f t="shared" si="385"/>
        <v>200</v>
      </c>
      <c r="K968" s="7">
        <f t="shared" si="385"/>
        <v>0</v>
      </c>
      <c r="L968" s="7">
        <f t="shared" si="385"/>
        <v>200</v>
      </c>
      <c r="M968" s="7">
        <f t="shared" si="385"/>
        <v>0</v>
      </c>
      <c r="N968" s="7">
        <v>200</v>
      </c>
      <c r="O968" s="7">
        <v>200</v>
      </c>
      <c r="P968" s="349">
        <v>80.5</v>
      </c>
      <c r="Q968" s="257">
        <v>40.25</v>
      </c>
    </row>
    <row r="969" spans="1:17" s="12" customFormat="1">
      <c r="A969" s="8" t="s">
        <v>356</v>
      </c>
      <c r="B969" s="10" t="s">
        <v>507</v>
      </c>
      <c r="C969" s="10" t="s">
        <v>9</v>
      </c>
      <c r="D969" s="10" t="s">
        <v>31</v>
      </c>
      <c r="E969" s="10" t="s">
        <v>344</v>
      </c>
      <c r="F969" s="10" t="s">
        <v>332</v>
      </c>
      <c r="G969" s="11">
        <v>90</v>
      </c>
      <c r="H969" s="31">
        <v>100</v>
      </c>
      <c r="I969" s="7"/>
      <c r="J969" s="7">
        <f>H969+I969</f>
        <v>100</v>
      </c>
      <c r="K969" s="7"/>
      <c r="L969" s="7">
        <f>J969+K969</f>
        <v>100</v>
      </c>
      <c r="M969" s="7"/>
      <c r="N969" s="7">
        <v>100</v>
      </c>
      <c r="O969" s="7">
        <v>100</v>
      </c>
      <c r="P969" s="349">
        <v>49.2</v>
      </c>
      <c r="Q969" s="257">
        <v>49.2</v>
      </c>
    </row>
    <row r="970" spans="1:17" s="12" customFormat="1">
      <c r="A970" s="8" t="s">
        <v>362</v>
      </c>
      <c r="B970" s="10" t="s">
        <v>507</v>
      </c>
      <c r="C970" s="10" t="s">
        <v>9</v>
      </c>
      <c r="D970" s="10" t="s">
        <v>31</v>
      </c>
      <c r="E970" s="10" t="s">
        <v>344</v>
      </c>
      <c r="F970" s="41" t="s">
        <v>334</v>
      </c>
      <c r="G970" s="11">
        <v>-90</v>
      </c>
      <c r="H970" s="31">
        <v>100</v>
      </c>
      <c r="I970" s="7"/>
      <c r="J970" s="7">
        <f>H970+I970</f>
        <v>100</v>
      </c>
      <c r="K970" s="7"/>
      <c r="L970" s="7">
        <f>J970+K970</f>
        <v>100</v>
      </c>
      <c r="M970" s="7"/>
      <c r="N970" s="7">
        <v>100</v>
      </c>
      <c r="O970" s="7">
        <v>100</v>
      </c>
      <c r="P970" s="349">
        <v>31.3</v>
      </c>
      <c r="Q970" s="257">
        <v>31.3</v>
      </c>
    </row>
    <row r="971" spans="1:17" ht="31.5">
      <c r="A971" s="26" t="s">
        <v>453</v>
      </c>
      <c r="B971" s="27" t="s">
        <v>507</v>
      </c>
      <c r="C971" s="27" t="s">
        <v>56</v>
      </c>
      <c r="D971" s="27"/>
      <c r="E971" s="27"/>
      <c r="F971" s="27"/>
      <c r="G971" s="28">
        <v>10000</v>
      </c>
      <c r="H971" s="28">
        <v>10000</v>
      </c>
      <c r="I971" s="29">
        <f t="shared" ref="I971:M974" si="386">I972</f>
        <v>48600</v>
      </c>
      <c r="J971" s="29">
        <f t="shared" si="386"/>
        <v>58600</v>
      </c>
      <c r="K971" s="29">
        <f t="shared" si="386"/>
        <v>0</v>
      </c>
      <c r="L971" s="29">
        <f t="shared" si="386"/>
        <v>58600</v>
      </c>
      <c r="M971" s="29">
        <f t="shared" si="386"/>
        <v>0</v>
      </c>
      <c r="N971" s="29">
        <v>58600</v>
      </c>
      <c r="O971" s="29">
        <v>58600</v>
      </c>
      <c r="P971" s="348">
        <v>56358.5</v>
      </c>
      <c r="Q971" s="256">
        <v>96.17</v>
      </c>
    </row>
    <row r="972" spans="1:17" ht="31.5">
      <c r="A972" s="26" t="s">
        <v>689</v>
      </c>
      <c r="B972" s="27" t="s">
        <v>507</v>
      </c>
      <c r="C972" s="27" t="s">
        <v>56</v>
      </c>
      <c r="D972" s="27" t="s">
        <v>16</v>
      </c>
      <c r="E972" s="27"/>
      <c r="F972" s="27"/>
      <c r="G972" s="28">
        <v>10000</v>
      </c>
      <c r="H972" s="28">
        <v>10000</v>
      </c>
      <c r="I972" s="29">
        <f t="shared" si="386"/>
        <v>48600</v>
      </c>
      <c r="J972" s="29">
        <f t="shared" si="386"/>
        <v>58600</v>
      </c>
      <c r="K972" s="29">
        <f t="shared" si="386"/>
        <v>0</v>
      </c>
      <c r="L972" s="29">
        <f t="shared" si="386"/>
        <v>58600</v>
      </c>
      <c r="M972" s="29">
        <f t="shared" si="386"/>
        <v>0</v>
      </c>
      <c r="N972" s="29">
        <v>58600</v>
      </c>
      <c r="O972" s="29">
        <v>58600</v>
      </c>
      <c r="P972" s="348">
        <v>56358.5</v>
      </c>
      <c r="Q972" s="256">
        <v>96.17</v>
      </c>
    </row>
    <row r="973" spans="1:17" s="21" customFormat="1">
      <c r="A973" s="8" t="s">
        <v>17</v>
      </c>
      <c r="B973" s="10" t="s">
        <v>507</v>
      </c>
      <c r="C973" s="10" t="s">
        <v>56</v>
      </c>
      <c r="D973" s="10" t="s">
        <v>16</v>
      </c>
      <c r="E973" s="10" t="s">
        <v>18</v>
      </c>
      <c r="F973" s="10"/>
      <c r="G973" s="11">
        <v>10000</v>
      </c>
      <c r="H973" s="31">
        <v>10000</v>
      </c>
      <c r="I973" s="7">
        <f t="shared" si="386"/>
        <v>48600</v>
      </c>
      <c r="J973" s="7">
        <f t="shared" si="386"/>
        <v>58600</v>
      </c>
      <c r="K973" s="7">
        <f t="shared" si="386"/>
        <v>0</v>
      </c>
      <c r="L973" s="7">
        <f t="shared" si="386"/>
        <v>58600</v>
      </c>
      <c r="M973" s="7">
        <f t="shared" si="386"/>
        <v>0</v>
      </c>
      <c r="N973" s="7">
        <v>58600</v>
      </c>
      <c r="O973" s="7">
        <v>58600</v>
      </c>
      <c r="P973" s="349">
        <v>56358.5</v>
      </c>
      <c r="Q973" s="257">
        <v>96.17</v>
      </c>
    </row>
    <row r="974" spans="1:17" s="21" customFormat="1" ht="31.5">
      <c r="A974" s="8" t="s">
        <v>704</v>
      </c>
      <c r="B974" s="10" t="s">
        <v>507</v>
      </c>
      <c r="C974" s="10" t="s">
        <v>56</v>
      </c>
      <c r="D974" s="10" t="s">
        <v>16</v>
      </c>
      <c r="E974" s="10" t="s">
        <v>61</v>
      </c>
      <c r="F974" s="10"/>
      <c r="G974" s="11">
        <v>10000</v>
      </c>
      <c r="H974" s="31">
        <v>10000</v>
      </c>
      <c r="I974" s="7">
        <f t="shared" si="386"/>
        <v>48600</v>
      </c>
      <c r="J974" s="7">
        <f t="shared" si="386"/>
        <v>58600</v>
      </c>
      <c r="K974" s="7">
        <f t="shared" si="386"/>
        <v>0</v>
      </c>
      <c r="L974" s="7">
        <f t="shared" si="386"/>
        <v>58600</v>
      </c>
      <c r="M974" s="7">
        <f t="shared" si="386"/>
        <v>0</v>
      </c>
      <c r="N974" s="7">
        <v>58600</v>
      </c>
      <c r="O974" s="7">
        <v>58600</v>
      </c>
      <c r="P974" s="349">
        <v>56358.5</v>
      </c>
      <c r="Q974" s="257">
        <v>96.17</v>
      </c>
    </row>
    <row r="975" spans="1:17" s="21" customFormat="1" ht="47.25">
      <c r="A975" s="8" t="s">
        <v>468</v>
      </c>
      <c r="B975" s="10" t="s">
        <v>507</v>
      </c>
      <c r="C975" s="10" t="s">
        <v>56</v>
      </c>
      <c r="D975" s="10" t="s">
        <v>16</v>
      </c>
      <c r="E975" s="10" t="s">
        <v>61</v>
      </c>
      <c r="F975" s="10" t="s">
        <v>446</v>
      </c>
      <c r="G975" s="11">
        <v>10000</v>
      </c>
      <c r="H975" s="31">
        <v>10000</v>
      </c>
      <c r="I975" s="7">
        <f>43282.6+5317.4</f>
        <v>48600</v>
      </c>
      <c r="J975" s="7">
        <f>H975+I975</f>
        <v>58600</v>
      </c>
      <c r="K975" s="7"/>
      <c r="L975" s="7">
        <f>J975+K975</f>
        <v>58600</v>
      </c>
      <c r="M975" s="7"/>
      <c r="N975" s="7">
        <v>58600</v>
      </c>
      <c r="O975" s="7">
        <v>58600</v>
      </c>
      <c r="P975" s="349">
        <v>56358.5</v>
      </c>
      <c r="Q975" s="257">
        <v>96.17</v>
      </c>
    </row>
    <row r="976" spans="1:17" s="30" customFormat="1">
      <c r="A976" s="26" t="s">
        <v>13</v>
      </c>
      <c r="B976" s="27" t="s">
        <v>507</v>
      </c>
      <c r="C976" s="27" t="s">
        <v>14</v>
      </c>
      <c r="D976" s="27"/>
      <c r="E976" s="27"/>
      <c r="F976" s="27"/>
      <c r="G976" s="28">
        <v>-5000</v>
      </c>
      <c r="H976" s="28">
        <v>0</v>
      </c>
      <c r="I976" s="29">
        <f t="shared" ref="I976:M977" si="387">I977</f>
        <v>1280</v>
      </c>
      <c r="J976" s="29">
        <f t="shared" si="387"/>
        <v>1280</v>
      </c>
      <c r="K976" s="29">
        <f t="shared" si="387"/>
        <v>53200</v>
      </c>
      <c r="L976" s="29">
        <f t="shared" si="387"/>
        <v>54480</v>
      </c>
      <c r="M976" s="29">
        <f t="shared" si="387"/>
        <v>1321</v>
      </c>
      <c r="N976" s="29">
        <v>55801</v>
      </c>
      <c r="O976" s="29">
        <v>314801</v>
      </c>
      <c r="P976" s="348">
        <v>168463.8</v>
      </c>
      <c r="Q976" s="256">
        <v>53.51</v>
      </c>
    </row>
    <row r="977" spans="1:17" s="30" customFormat="1">
      <c r="A977" s="67" t="s">
        <v>15</v>
      </c>
      <c r="B977" s="71" t="s">
        <v>507</v>
      </c>
      <c r="C977" s="71" t="s">
        <v>14</v>
      </c>
      <c r="D977" s="71" t="s">
        <v>16</v>
      </c>
      <c r="E977" s="71"/>
      <c r="F977" s="71"/>
      <c r="G977" s="28"/>
      <c r="H977" s="28">
        <f>H978</f>
        <v>0</v>
      </c>
      <c r="I977" s="28">
        <f t="shared" si="387"/>
        <v>1280</v>
      </c>
      <c r="J977" s="28">
        <f t="shared" si="387"/>
        <v>1280</v>
      </c>
      <c r="K977" s="28">
        <f t="shared" si="387"/>
        <v>53200</v>
      </c>
      <c r="L977" s="72">
        <f t="shared" si="387"/>
        <v>54480</v>
      </c>
      <c r="M977" s="72">
        <f t="shared" si="387"/>
        <v>1321</v>
      </c>
      <c r="N977" s="72">
        <v>55801</v>
      </c>
      <c r="O977" s="72">
        <v>55801</v>
      </c>
      <c r="P977" s="348">
        <v>29415.3</v>
      </c>
      <c r="Q977" s="256">
        <v>52.71</v>
      </c>
    </row>
    <row r="978" spans="1:17" s="30" customFormat="1">
      <c r="A978" s="9" t="s">
        <v>17</v>
      </c>
      <c r="B978" s="37" t="s">
        <v>507</v>
      </c>
      <c r="C978" s="37" t="s">
        <v>14</v>
      </c>
      <c r="D978" s="37" t="s">
        <v>16</v>
      </c>
      <c r="E978" s="37" t="s">
        <v>18</v>
      </c>
      <c r="F978" s="37"/>
      <c r="G978" s="28"/>
      <c r="H978" s="11">
        <f>H981</f>
        <v>0</v>
      </c>
      <c r="I978" s="11">
        <f>I981</f>
        <v>1280</v>
      </c>
      <c r="J978" s="11">
        <f>J981</f>
        <v>1280</v>
      </c>
      <c r="K978" s="11">
        <f>K981</f>
        <v>53200</v>
      </c>
      <c r="L978" s="52">
        <f>L981+L979</f>
        <v>54480</v>
      </c>
      <c r="M978" s="52">
        <f>M981+M979</f>
        <v>1321</v>
      </c>
      <c r="N978" s="52">
        <v>55801</v>
      </c>
      <c r="O978" s="52">
        <v>55801</v>
      </c>
      <c r="P978" s="349">
        <v>29415.3</v>
      </c>
      <c r="Q978" s="257">
        <v>52.71</v>
      </c>
    </row>
    <row r="979" spans="1:17" s="30" customFormat="1" ht="63">
      <c r="A979" s="8" t="s">
        <v>697</v>
      </c>
      <c r="B979" s="10" t="s">
        <v>507</v>
      </c>
      <c r="C979" s="37" t="s">
        <v>14</v>
      </c>
      <c r="D979" s="37" t="s">
        <v>16</v>
      </c>
      <c r="E979" s="10" t="s">
        <v>230</v>
      </c>
      <c r="F979" s="10"/>
      <c r="G979" s="28"/>
      <c r="H979" s="11"/>
      <c r="I979" s="11"/>
      <c r="J979" s="11"/>
      <c r="K979" s="11"/>
      <c r="L979" s="52">
        <f>L980</f>
        <v>0</v>
      </c>
      <c r="M979" s="52">
        <f>M980</f>
        <v>1321</v>
      </c>
      <c r="N979" s="52">
        <v>1321</v>
      </c>
      <c r="O979" s="52">
        <v>1321</v>
      </c>
      <c r="P979" s="349">
        <v>1321</v>
      </c>
      <c r="Q979" s="257">
        <v>100</v>
      </c>
    </row>
    <row r="980" spans="1:17" s="30" customFormat="1" ht="47.25">
      <c r="A980" s="8" t="s">
        <v>468</v>
      </c>
      <c r="B980" s="10" t="s">
        <v>507</v>
      </c>
      <c r="C980" s="37" t="s">
        <v>14</v>
      </c>
      <c r="D980" s="37" t="s">
        <v>16</v>
      </c>
      <c r="E980" s="10" t="s">
        <v>230</v>
      </c>
      <c r="F980" s="10" t="s">
        <v>446</v>
      </c>
      <c r="G980" s="28"/>
      <c r="H980" s="11"/>
      <c r="I980" s="11"/>
      <c r="J980" s="11"/>
      <c r="K980" s="11"/>
      <c r="L980" s="52"/>
      <c r="M980" s="52">
        <v>1321</v>
      </c>
      <c r="N980" s="52">
        <v>1321</v>
      </c>
      <c r="O980" s="7">
        <v>1321</v>
      </c>
      <c r="P980" s="349">
        <v>1321</v>
      </c>
      <c r="Q980" s="257">
        <v>100</v>
      </c>
    </row>
    <row r="981" spans="1:17" s="30" customFormat="1" ht="31.5">
      <c r="A981" s="9" t="s">
        <v>21</v>
      </c>
      <c r="B981" s="37" t="s">
        <v>507</v>
      </c>
      <c r="C981" s="37" t="s">
        <v>14</v>
      </c>
      <c r="D981" s="37" t="s">
        <v>16</v>
      </c>
      <c r="E981" s="37" t="s">
        <v>22</v>
      </c>
      <c r="F981" s="37"/>
      <c r="G981" s="28"/>
      <c r="H981" s="11">
        <f>H982</f>
        <v>0</v>
      </c>
      <c r="I981" s="11">
        <f>I982</f>
        <v>1280</v>
      </c>
      <c r="J981" s="11">
        <f t="shared" ref="J981:M981" si="388">J982+J983</f>
        <v>1280</v>
      </c>
      <c r="K981" s="11">
        <f t="shared" si="388"/>
        <v>53200</v>
      </c>
      <c r="L981" s="52">
        <f t="shared" si="388"/>
        <v>54480</v>
      </c>
      <c r="M981" s="52">
        <f t="shared" si="388"/>
        <v>0</v>
      </c>
      <c r="N981" s="52">
        <v>54480</v>
      </c>
      <c r="O981" s="52">
        <v>54480</v>
      </c>
      <c r="P981" s="349">
        <v>28094.3</v>
      </c>
      <c r="Q981" s="257">
        <v>51.57</v>
      </c>
    </row>
    <row r="982" spans="1:17" s="30" customFormat="1" ht="63">
      <c r="A982" s="9" t="s">
        <v>837</v>
      </c>
      <c r="B982" s="37" t="s">
        <v>507</v>
      </c>
      <c r="C982" s="37" t="s">
        <v>14</v>
      </c>
      <c r="D982" s="37" t="s">
        <v>16</v>
      </c>
      <c r="E982" s="37" t="s">
        <v>22</v>
      </c>
      <c r="F982" s="37" t="s">
        <v>386</v>
      </c>
      <c r="G982" s="28"/>
      <c r="H982" s="11"/>
      <c r="I982" s="7">
        <v>1280</v>
      </c>
      <c r="J982" s="7">
        <f>H982+I982</f>
        <v>1280</v>
      </c>
      <c r="K982" s="7">
        <f>26500+21000</f>
        <v>47500</v>
      </c>
      <c r="L982" s="7">
        <f>J982+K982</f>
        <v>48780</v>
      </c>
      <c r="M982" s="7">
        <f>1321-1321</f>
        <v>0</v>
      </c>
      <c r="N982" s="7">
        <v>48780</v>
      </c>
      <c r="O982" s="7">
        <v>48780</v>
      </c>
      <c r="P982" s="349">
        <v>22394.3</v>
      </c>
      <c r="Q982" s="257">
        <v>45.91</v>
      </c>
    </row>
    <row r="983" spans="1:17" s="30" customFormat="1" ht="47.25">
      <c r="A983" s="8" t="s">
        <v>468</v>
      </c>
      <c r="B983" s="37" t="s">
        <v>507</v>
      </c>
      <c r="C983" s="37" t="s">
        <v>14</v>
      </c>
      <c r="D983" s="37" t="s">
        <v>16</v>
      </c>
      <c r="E983" s="37" t="s">
        <v>22</v>
      </c>
      <c r="F983" s="37" t="s">
        <v>446</v>
      </c>
      <c r="G983" s="28"/>
      <c r="H983" s="11"/>
      <c r="I983" s="7"/>
      <c r="J983" s="7"/>
      <c r="K983" s="7">
        <f>5700+21000-21000</f>
        <v>5700</v>
      </c>
      <c r="L983" s="7">
        <f>J983+K983</f>
        <v>5700</v>
      </c>
      <c r="M983" s="7"/>
      <c r="N983" s="7">
        <v>5700</v>
      </c>
      <c r="O983" s="7">
        <v>5700</v>
      </c>
      <c r="P983" s="349">
        <v>5700</v>
      </c>
      <c r="Q983" s="257">
        <v>100</v>
      </c>
    </row>
    <row r="984" spans="1:17" s="30" customFormat="1" ht="31.5">
      <c r="A984" s="26" t="s">
        <v>1060</v>
      </c>
      <c r="B984" s="71" t="s">
        <v>507</v>
      </c>
      <c r="C984" s="71" t="s">
        <v>14</v>
      </c>
      <c r="D984" s="71" t="s">
        <v>14</v>
      </c>
      <c r="E984" s="71"/>
      <c r="F984" s="71"/>
      <c r="G984" s="28"/>
      <c r="H984" s="28"/>
      <c r="I984" s="29"/>
      <c r="J984" s="29"/>
      <c r="K984" s="29"/>
      <c r="L984" s="29"/>
      <c r="M984" s="29"/>
      <c r="N984" s="29">
        <v>0</v>
      </c>
      <c r="O984" s="29">
        <v>259000</v>
      </c>
      <c r="P984" s="348">
        <v>139048.5</v>
      </c>
      <c r="Q984" s="256">
        <v>53.69</v>
      </c>
    </row>
    <row r="985" spans="1:17" s="30" customFormat="1" ht="63">
      <c r="A985" s="8" t="s">
        <v>1062</v>
      </c>
      <c r="B985" s="37" t="s">
        <v>507</v>
      </c>
      <c r="C985" s="37" t="s">
        <v>14</v>
      </c>
      <c r="D985" s="37" t="s">
        <v>14</v>
      </c>
      <c r="E985" s="37" t="s">
        <v>1061</v>
      </c>
      <c r="F985" s="37"/>
      <c r="G985" s="28"/>
      <c r="H985" s="11"/>
      <c r="I985" s="7"/>
      <c r="J985" s="7"/>
      <c r="K985" s="7"/>
      <c r="L985" s="7"/>
      <c r="M985" s="7"/>
      <c r="N985" s="7">
        <v>0</v>
      </c>
      <c r="O985" s="7">
        <v>259000</v>
      </c>
      <c r="P985" s="349">
        <v>139048.5</v>
      </c>
      <c r="Q985" s="257">
        <v>53.69</v>
      </c>
    </row>
    <row r="986" spans="1:17" s="30" customFormat="1" ht="63">
      <c r="A986" s="9" t="s">
        <v>837</v>
      </c>
      <c r="B986" s="37" t="s">
        <v>507</v>
      </c>
      <c r="C986" s="37" t="s">
        <v>14</v>
      </c>
      <c r="D986" s="37" t="s">
        <v>14</v>
      </c>
      <c r="E986" s="37" t="s">
        <v>1061</v>
      </c>
      <c r="F986" s="37" t="s">
        <v>386</v>
      </c>
      <c r="G986" s="28"/>
      <c r="H986" s="11"/>
      <c r="I986" s="7"/>
      <c r="J986" s="7"/>
      <c r="K986" s="7"/>
      <c r="L986" s="7"/>
      <c r="M986" s="7"/>
      <c r="N986" s="7">
        <v>0</v>
      </c>
      <c r="O986" s="7">
        <v>259000</v>
      </c>
      <c r="P986" s="349">
        <v>139048.5</v>
      </c>
      <c r="Q986" s="257">
        <v>53.69</v>
      </c>
    </row>
    <row r="987" spans="1:17" s="12" customFormat="1">
      <c r="A987" s="26" t="s">
        <v>45</v>
      </c>
      <c r="B987" s="27" t="s">
        <v>507</v>
      </c>
      <c r="C987" s="73">
        <v>10</v>
      </c>
      <c r="D987" s="27"/>
      <c r="E987" s="27"/>
      <c r="F987" s="27"/>
      <c r="G987" s="28">
        <v>3000</v>
      </c>
      <c r="H987" s="28">
        <v>3000</v>
      </c>
      <c r="I987" s="7">
        <f t="shared" ref="I987:M994" si="389">I988</f>
        <v>0</v>
      </c>
      <c r="J987" s="29">
        <f t="shared" ref="J987:M987" si="390">J988+J996</f>
        <v>3000</v>
      </c>
      <c r="K987" s="29">
        <f t="shared" si="390"/>
        <v>104172.4</v>
      </c>
      <c r="L987" s="29">
        <f t="shared" si="390"/>
        <v>107172.4</v>
      </c>
      <c r="M987" s="29">
        <f t="shared" si="390"/>
        <v>-443.2</v>
      </c>
      <c r="N987" s="29">
        <v>106729.2</v>
      </c>
      <c r="O987" s="29">
        <v>106729.2</v>
      </c>
      <c r="P987" s="348">
        <v>49206.3</v>
      </c>
      <c r="Q987" s="256">
        <v>46.1</v>
      </c>
    </row>
    <row r="988" spans="1:17" s="12" customFormat="1">
      <c r="A988" s="26" t="s">
        <v>46</v>
      </c>
      <c r="B988" s="27" t="s">
        <v>507</v>
      </c>
      <c r="C988" s="73">
        <v>10</v>
      </c>
      <c r="D988" s="27" t="s">
        <v>28</v>
      </c>
      <c r="E988" s="27"/>
      <c r="F988" s="27"/>
      <c r="G988" s="28">
        <v>3000</v>
      </c>
      <c r="H988" s="28">
        <v>3000</v>
      </c>
      <c r="I988" s="29">
        <f t="shared" si="389"/>
        <v>0</v>
      </c>
      <c r="J988" s="29">
        <f t="shared" si="389"/>
        <v>3000</v>
      </c>
      <c r="K988" s="29">
        <f t="shared" si="389"/>
        <v>729.1</v>
      </c>
      <c r="L988" s="29">
        <f t="shared" si="389"/>
        <v>3729.1</v>
      </c>
      <c r="M988" s="29">
        <f t="shared" si="389"/>
        <v>-780</v>
      </c>
      <c r="N988" s="29">
        <v>2949.1</v>
      </c>
      <c r="O988" s="29">
        <v>2949.1</v>
      </c>
      <c r="P988" s="348">
        <v>2769.4</v>
      </c>
      <c r="Q988" s="256">
        <v>93.91</v>
      </c>
    </row>
    <row r="989" spans="1:17" s="12" customFormat="1">
      <c r="A989" s="8" t="s">
        <v>17</v>
      </c>
      <c r="B989" s="10" t="s">
        <v>507</v>
      </c>
      <c r="C989" s="57">
        <v>10</v>
      </c>
      <c r="D989" s="10" t="s">
        <v>28</v>
      </c>
      <c r="E989" s="10" t="s">
        <v>18</v>
      </c>
      <c r="F989" s="10"/>
      <c r="G989" s="11">
        <v>3000</v>
      </c>
      <c r="H989" s="11">
        <v>3000</v>
      </c>
      <c r="I989" s="7">
        <f t="shared" si="389"/>
        <v>0</v>
      </c>
      <c r="J989" s="7">
        <f t="shared" si="389"/>
        <v>3000</v>
      </c>
      <c r="K989" s="7">
        <f t="shared" si="389"/>
        <v>729.1</v>
      </c>
      <c r="L989" s="7">
        <f t="shared" si="389"/>
        <v>3729.1</v>
      </c>
      <c r="M989" s="7">
        <f t="shared" si="389"/>
        <v>-780</v>
      </c>
      <c r="N989" s="7">
        <v>2949.1</v>
      </c>
      <c r="O989" s="7">
        <v>2949.1</v>
      </c>
      <c r="P989" s="349">
        <v>2769.4</v>
      </c>
      <c r="Q989" s="257">
        <v>93.91</v>
      </c>
    </row>
    <row r="990" spans="1:17" s="12" customFormat="1">
      <c r="A990" s="8" t="s">
        <v>83</v>
      </c>
      <c r="B990" s="10" t="s">
        <v>507</v>
      </c>
      <c r="C990" s="57">
        <v>10</v>
      </c>
      <c r="D990" s="10" t="s">
        <v>28</v>
      </c>
      <c r="E990" s="57" t="s">
        <v>84</v>
      </c>
      <c r="F990" s="10"/>
      <c r="G990" s="11">
        <v>3000</v>
      </c>
      <c r="H990" s="11">
        <v>3000</v>
      </c>
      <c r="I990" s="7">
        <f>I993</f>
        <v>0</v>
      </c>
      <c r="J990" s="7">
        <f t="shared" ref="J990:M990" si="391">J993+J991</f>
        <v>3000</v>
      </c>
      <c r="K990" s="7">
        <f t="shared" si="391"/>
        <v>729.1</v>
      </c>
      <c r="L990" s="7">
        <f t="shared" si="391"/>
        <v>3729.1</v>
      </c>
      <c r="M990" s="7">
        <f t="shared" si="391"/>
        <v>-780</v>
      </c>
      <c r="N990" s="7">
        <v>2949.1</v>
      </c>
      <c r="O990" s="7">
        <v>2949.1</v>
      </c>
      <c r="P990" s="349">
        <v>2769.4</v>
      </c>
      <c r="Q990" s="257">
        <v>93.91</v>
      </c>
    </row>
    <row r="991" spans="1:17" s="12" customFormat="1" ht="31.5">
      <c r="A991" s="8" t="s">
        <v>880</v>
      </c>
      <c r="B991" s="10" t="s">
        <v>507</v>
      </c>
      <c r="C991" s="57">
        <v>10</v>
      </c>
      <c r="D991" s="10" t="s">
        <v>28</v>
      </c>
      <c r="E991" s="57" t="s">
        <v>879</v>
      </c>
      <c r="F991" s="10"/>
      <c r="G991" s="11"/>
      <c r="H991" s="11"/>
      <c r="I991" s="7"/>
      <c r="J991" s="7">
        <f t="shared" ref="J991:M991" si="392">J992</f>
        <v>0</v>
      </c>
      <c r="K991" s="7">
        <f t="shared" si="392"/>
        <v>729.1</v>
      </c>
      <c r="L991" s="7">
        <f t="shared" si="392"/>
        <v>729.1</v>
      </c>
      <c r="M991" s="7">
        <f t="shared" si="392"/>
        <v>-300</v>
      </c>
      <c r="N991" s="7">
        <v>429.1</v>
      </c>
      <c r="O991" s="7">
        <v>429.1</v>
      </c>
      <c r="P991" s="349">
        <v>299.5</v>
      </c>
      <c r="Q991" s="257">
        <v>69.8</v>
      </c>
    </row>
    <row r="992" spans="1:17" s="12" customFormat="1" ht="31.5">
      <c r="A992" s="8" t="s">
        <v>586</v>
      </c>
      <c r="B992" s="10" t="s">
        <v>507</v>
      </c>
      <c r="C992" s="57">
        <v>10</v>
      </c>
      <c r="D992" s="10" t="s">
        <v>28</v>
      </c>
      <c r="E992" s="57" t="s">
        <v>879</v>
      </c>
      <c r="F992" s="10" t="s">
        <v>368</v>
      </c>
      <c r="G992" s="11"/>
      <c r="H992" s="11"/>
      <c r="I992" s="7"/>
      <c r="J992" s="7"/>
      <c r="K992" s="7">
        <f>803.7-74.6+803.7-803.7</f>
        <v>729.1</v>
      </c>
      <c r="L992" s="7">
        <f>J992+K992</f>
        <v>729.1</v>
      </c>
      <c r="M992" s="7">
        <f>100-400</f>
        <v>-300</v>
      </c>
      <c r="N992" s="7">
        <v>429.1</v>
      </c>
      <c r="O992" s="7">
        <v>429.1</v>
      </c>
      <c r="P992" s="349">
        <v>299.5</v>
      </c>
      <c r="Q992" s="257">
        <v>69.8</v>
      </c>
    </row>
    <row r="993" spans="1:17" s="12" customFormat="1" ht="47.25">
      <c r="A993" s="8" t="s">
        <v>537</v>
      </c>
      <c r="B993" s="10" t="s">
        <v>507</v>
      </c>
      <c r="C993" s="57">
        <v>10</v>
      </c>
      <c r="D993" s="10" t="s">
        <v>28</v>
      </c>
      <c r="E993" s="10" t="s">
        <v>220</v>
      </c>
      <c r="F993" s="10"/>
      <c r="G993" s="11">
        <v>3000</v>
      </c>
      <c r="H993" s="11">
        <v>3000</v>
      </c>
      <c r="I993" s="7">
        <f t="shared" si="389"/>
        <v>0</v>
      </c>
      <c r="J993" s="7">
        <f t="shared" si="389"/>
        <v>3000</v>
      </c>
      <c r="K993" s="7">
        <f t="shared" si="389"/>
        <v>0</v>
      </c>
      <c r="L993" s="7">
        <f t="shared" si="389"/>
        <v>3000</v>
      </c>
      <c r="M993" s="7">
        <f t="shared" si="389"/>
        <v>-480</v>
      </c>
      <c r="N993" s="7">
        <v>2520</v>
      </c>
      <c r="O993" s="7">
        <v>2520</v>
      </c>
      <c r="P993" s="349">
        <v>2469.9</v>
      </c>
      <c r="Q993" s="257">
        <v>98.01</v>
      </c>
    </row>
    <row r="994" spans="1:17" s="12" customFormat="1" ht="31.5">
      <c r="A994" s="58" t="s">
        <v>688</v>
      </c>
      <c r="B994" s="10" t="s">
        <v>507</v>
      </c>
      <c r="C994" s="57">
        <v>10</v>
      </c>
      <c r="D994" s="10" t="s">
        <v>28</v>
      </c>
      <c r="E994" s="10" t="s">
        <v>220</v>
      </c>
      <c r="F994" s="10"/>
      <c r="G994" s="11">
        <v>3000</v>
      </c>
      <c r="H994" s="11">
        <v>3000</v>
      </c>
      <c r="I994" s="7">
        <f t="shared" si="389"/>
        <v>0</v>
      </c>
      <c r="J994" s="7">
        <f t="shared" si="389"/>
        <v>3000</v>
      </c>
      <c r="K994" s="7">
        <f t="shared" si="389"/>
        <v>0</v>
      </c>
      <c r="L994" s="7">
        <f t="shared" si="389"/>
        <v>3000</v>
      </c>
      <c r="M994" s="7">
        <f t="shared" si="389"/>
        <v>-480</v>
      </c>
      <c r="N994" s="7">
        <v>2520</v>
      </c>
      <c r="O994" s="7">
        <v>2520</v>
      </c>
      <c r="P994" s="349">
        <v>2469.9</v>
      </c>
      <c r="Q994" s="257">
        <v>98.01</v>
      </c>
    </row>
    <row r="995" spans="1:17" s="12" customFormat="1" ht="31.5">
      <c r="A995" s="8" t="s">
        <v>586</v>
      </c>
      <c r="B995" s="10" t="s">
        <v>507</v>
      </c>
      <c r="C995" s="57">
        <v>10</v>
      </c>
      <c r="D995" s="10" t="s">
        <v>28</v>
      </c>
      <c r="E995" s="10" t="s">
        <v>220</v>
      </c>
      <c r="F995" s="10" t="s">
        <v>368</v>
      </c>
      <c r="G995" s="11">
        <v>3000</v>
      </c>
      <c r="H995" s="31">
        <v>3000</v>
      </c>
      <c r="I995" s="7"/>
      <c r="J995" s="7">
        <f>H995+I995</f>
        <v>3000</v>
      </c>
      <c r="K995" s="7"/>
      <c r="L995" s="7">
        <f>J995+K995</f>
        <v>3000</v>
      </c>
      <c r="M995" s="7">
        <f>200-680</f>
        <v>-480</v>
      </c>
      <c r="N995" s="7">
        <v>2520</v>
      </c>
      <c r="O995" s="7">
        <v>2520</v>
      </c>
      <c r="P995" s="349">
        <v>2469.9</v>
      </c>
      <c r="Q995" s="257">
        <v>98.01</v>
      </c>
    </row>
    <row r="996" spans="1:17" s="12" customFormat="1">
      <c r="A996" s="26" t="s">
        <v>87</v>
      </c>
      <c r="B996" s="27" t="s">
        <v>507</v>
      </c>
      <c r="C996" s="27">
        <v>10</v>
      </c>
      <c r="D996" s="27" t="s">
        <v>11</v>
      </c>
      <c r="E996" s="10"/>
      <c r="F996" s="10"/>
      <c r="G996" s="11"/>
      <c r="H996" s="31"/>
      <c r="I996" s="7"/>
      <c r="J996" s="29">
        <f t="shared" ref="J996:M996" si="393">J997</f>
        <v>0</v>
      </c>
      <c r="K996" s="29">
        <f t="shared" si="393"/>
        <v>103443.3</v>
      </c>
      <c r="L996" s="29">
        <f t="shared" si="393"/>
        <v>103443.3</v>
      </c>
      <c r="M996" s="29">
        <f t="shared" si="393"/>
        <v>336.8</v>
      </c>
      <c r="N996" s="29">
        <v>103780.1</v>
      </c>
      <c r="O996" s="29">
        <v>103780.1</v>
      </c>
      <c r="P996" s="348">
        <v>46436.9</v>
      </c>
      <c r="Q996" s="256">
        <v>44.75</v>
      </c>
    </row>
    <row r="997" spans="1:17" s="12" customFormat="1">
      <c r="A997" s="8" t="s">
        <v>47</v>
      </c>
      <c r="B997" s="10" t="s">
        <v>507</v>
      </c>
      <c r="C997" s="10">
        <v>10</v>
      </c>
      <c r="D997" s="10" t="s">
        <v>11</v>
      </c>
      <c r="E997" s="10" t="s">
        <v>48</v>
      </c>
      <c r="F997" s="10"/>
      <c r="G997" s="11"/>
      <c r="H997" s="31"/>
      <c r="I997" s="7"/>
      <c r="J997" s="7">
        <f t="shared" ref="J997:M997" si="394">J998+J1000</f>
        <v>0</v>
      </c>
      <c r="K997" s="7">
        <f t="shared" si="394"/>
        <v>103443.3</v>
      </c>
      <c r="L997" s="7">
        <f t="shared" si="394"/>
        <v>103443.3</v>
      </c>
      <c r="M997" s="7">
        <f t="shared" si="394"/>
        <v>336.8</v>
      </c>
      <c r="N997" s="7">
        <v>103780.1</v>
      </c>
      <c r="O997" s="7">
        <v>103780.1</v>
      </c>
      <c r="P997" s="349">
        <v>46436.9</v>
      </c>
      <c r="Q997" s="257">
        <v>44.75</v>
      </c>
    </row>
    <row r="998" spans="1:17" s="12" customFormat="1" ht="63">
      <c r="A998" s="8" t="s">
        <v>875</v>
      </c>
      <c r="B998" s="10" t="s">
        <v>507</v>
      </c>
      <c r="C998" s="10" t="s">
        <v>140</v>
      </c>
      <c r="D998" s="10" t="s">
        <v>11</v>
      </c>
      <c r="E998" s="10" t="s">
        <v>874</v>
      </c>
      <c r="F998" s="10"/>
      <c r="G998" s="11"/>
      <c r="H998" s="31"/>
      <c r="I998" s="7"/>
      <c r="J998" s="7">
        <f t="shared" ref="J998:M998" si="395">J999</f>
        <v>0</v>
      </c>
      <c r="K998" s="7">
        <f t="shared" si="395"/>
        <v>40162.9</v>
      </c>
      <c r="L998" s="7">
        <f t="shared" si="395"/>
        <v>40162.9</v>
      </c>
      <c r="M998" s="7">
        <f t="shared" si="395"/>
        <v>0</v>
      </c>
      <c r="N998" s="7">
        <v>40162.9</v>
      </c>
      <c r="O998" s="7">
        <v>40162.9</v>
      </c>
      <c r="P998" s="349">
        <v>17971.099999999999</v>
      </c>
      <c r="Q998" s="257">
        <v>44.75</v>
      </c>
    </row>
    <row r="999" spans="1:17" s="12" customFormat="1" ht="31.5">
      <c r="A999" s="8" t="s">
        <v>545</v>
      </c>
      <c r="B999" s="10" t="s">
        <v>507</v>
      </c>
      <c r="C999" s="10" t="s">
        <v>140</v>
      </c>
      <c r="D999" s="10" t="s">
        <v>11</v>
      </c>
      <c r="E999" s="10" t="s">
        <v>874</v>
      </c>
      <c r="F999" s="10" t="s">
        <v>544</v>
      </c>
      <c r="G999" s="11"/>
      <c r="H999" s="31"/>
      <c r="I999" s="7"/>
      <c r="J999" s="7"/>
      <c r="K999" s="7">
        <v>40162.9</v>
      </c>
      <c r="L999" s="7">
        <f>J999+K999</f>
        <v>40162.9</v>
      </c>
      <c r="M999" s="7"/>
      <c r="N999" s="7">
        <v>40162.9</v>
      </c>
      <c r="O999" s="7">
        <v>40162.9</v>
      </c>
      <c r="P999" s="349">
        <v>17971.099999999999</v>
      </c>
      <c r="Q999" s="257">
        <v>44.75</v>
      </c>
    </row>
    <row r="1000" spans="1:17" s="12" customFormat="1" ht="63">
      <c r="A1000" s="8" t="s">
        <v>873</v>
      </c>
      <c r="B1000" s="10" t="s">
        <v>507</v>
      </c>
      <c r="C1000" s="10" t="s">
        <v>140</v>
      </c>
      <c r="D1000" s="10" t="s">
        <v>11</v>
      </c>
      <c r="E1000" s="10" t="s">
        <v>872</v>
      </c>
      <c r="F1000" s="10"/>
      <c r="G1000" s="11"/>
      <c r="H1000" s="31"/>
      <c r="I1000" s="7"/>
      <c r="J1000" s="7">
        <f t="shared" ref="J1000:M1000" si="396">J1001</f>
        <v>0</v>
      </c>
      <c r="K1000" s="7">
        <f t="shared" si="396"/>
        <v>63280.4</v>
      </c>
      <c r="L1000" s="7">
        <f t="shared" si="396"/>
        <v>63280.4</v>
      </c>
      <c r="M1000" s="7">
        <f t="shared" si="396"/>
        <v>336.8</v>
      </c>
      <c r="N1000" s="7">
        <v>63617.2</v>
      </c>
      <c r="O1000" s="7">
        <v>63617.2</v>
      </c>
      <c r="P1000" s="349">
        <v>28465.8</v>
      </c>
      <c r="Q1000" s="257">
        <v>44.75</v>
      </c>
    </row>
    <row r="1001" spans="1:17" s="12" customFormat="1" ht="31.5">
      <c r="A1001" s="8" t="s">
        <v>545</v>
      </c>
      <c r="B1001" s="10" t="s">
        <v>507</v>
      </c>
      <c r="C1001" s="10" t="s">
        <v>140</v>
      </c>
      <c r="D1001" s="10" t="s">
        <v>11</v>
      </c>
      <c r="E1001" s="10" t="s">
        <v>872</v>
      </c>
      <c r="F1001" s="10" t="s">
        <v>544</v>
      </c>
      <c r="G1001" s="11"/>
      <c r="H1001" s="31"/>
      <c r="I1001" s="7"/>
      <c r="J1001" s="7"/>
      <c r="K1001" s="7">
        <v>63280.4</v>
      </c>
      <c r="L1001" s="7">
        <f>J1001+K1001</f>
        <v>63280.4</v>
      </c>
      <c r="M1001" s="7">
        <v>336.8</v>
      </c>
      <c r="N1001" s="7">
        <v>63617.2</v>
      </c>
      <c r="O1001" s="7">
        <v>63617.2</v>
      </c>
      <c r="P1001" s="349">
        <v>28465.8</v>
      </c>
      <c r="Q1001" s="257">
        <v>44.75</v>
      </c>
    </row>
    <row r="1002" spans="1:17" s="30" customFormat="1" ht="31.5">
      <c r="A1002" s="26" t="s">
        <v>677</v>
      </c>
      <c r="B1002" s="27" t="s">
        <v>507</v>
      </c>
      <c r="C1002" s="73">
        <v>11</v>
      </c>
      <c r="D1002" s="27"/>
      <c r="E1002" s="27"/>
      <c r="F1002" s="27"/>
      <c r="G1002" s="28">
        <v>4000</v>
      </c>
      <c r="H1002" s="28">
        <v>4000</v>
      </c>
      <c r="I1002" s="29">
        <f t="shared" ref="I1002:M1005" si="397">I1003</f>
        <v>0</v>
      </c>
      <c r="J1002" s="29">
        <f t="shared" si="397"/>
        <v>4000</v>
      </c>
      <c r="K1002" s="29">
        <f t="shared" si="397"/>
        <v>1500</v>
      </c>
      <c r="L1002" s="29">
        <f t="shared" si="397"/>
        <v>5500</v>
      </c>
      <c r="M1002" s="29">
        <f t="shared" si="397"/>
        <v>0</v>
      </c>
      <c r="N1002" s="29">
        <v>5500</v>
      </c>
      <c r="O1002" s="29">
        <v>5500</v>
      </c>
      <c r="P1002" s="348">
        <v>5500</v>
      </c>
      <c r="Q1002" s="256">
        <v>100</v>
      </c>
    </row>
    <row r="1003" spans="1:17" s="30" customFormat="1" ht="31.5">
      <c r="A1003" s="26" t="s">
        <v>678</v>
      </c>
      <c r="B1003" s="27" t="s">
        <v>507</v>
      </c>
      <c r="C1003" s="73">
        <v>11</v>
      </c>
      <c r="D1003" s="27" t="s">
        <v>26</v>
      </c>
      <c r="E1003" s="27"/>
      <c r="F1003" s="27"/>
      <c r="G1003" s="28">
        <v>4000</v>
      </c>
      <c r="H1003" s="28">
        <v>4000</v>
      </c>
      <c r="I1003" s="29">
        <f t="shared" si="397"/>
        <v>0</v>
      </c>
      <c r="J1003" s="29">
        <f t="shared" si="397"/>
        <v>4000</v>
      </c>
      <c r="K1003" s="29">
        <f t="shared" si="397"/>
        <v>1500</v>
      </c>
      <c r="L1003" s="29">
        <f t="shared" si="397"/>
        <v>5500</v>
      </c>
      <c r="M1003" s="29">
        <f t="shared" si="397"/>
        <v>0</v>
      </c>
      <c r="N1003" s="29">
        <v>5500</v>
      </c>
      <c r="O1003" s="29">
        <v>5500</v>
      </c>
      <c r="P1003" s="348">
        <v>5500</v>
      </c>
      <c r="Q1003" s="256">
        <v>100</v>
      </c>
    </row>
    <row r="1004" spans="1:17" s="12" customFormat="1">
      <c r="A1004" s="8" t="s">
        <v>363</v>
      </c>
      <c r="B1004" s="10" t="s">
        <v>507</v>
      </c>
      <c r="C1004" s="10" t="s">
        <v>50</v>
      </c>
      <c r="D1004" s="10" t="s">
        <v>26</v>
      </c>
      <c r="E1004" s="10" t="s">
        <v>364</v>
      </c>
      <c r="F1004" s="10"/>
      <c r="G1004" s="11">
        <v>4000</v>
      </c>
      <c r="H1004" s="11">
        <v>4000</v>
      </c>
      <c r="I1004" s="7">
        <f t="shared" si="397"/>
        <v>0</v>
      </c>
      <c r="J1004" s="7">
        <f t="shared" si="397"/>
        <v>4000</v>
      </c>
      <c r="K1004" s="7">
        <f t="shared" si="397"/>
        <v>1500</v>
      </c>
      <c r="L1004" s="7">
        <f t="shared" si="397"/>
        <v>5500</v>
      </c>
      <c r="M1004" s="7">
        <f t="shared" si="397"/>
        <v>0</v>
      </c>
      <c r="N1004" s="7">
        <v>5500</v>
      </c>
      <c r="O1004" s="7">
        <v>5500</v>
      </c>
      <c r="P1004" s="349">
        <v>5500</v>
      </c>
      <c r="Q1004" s="257">
        <v>100</v>
      </c>
    </row>
    <row r="1005" spans="1:17" s="12" customFormat="1" ht="31.5">
      <c r="A1005" s="8" t="s">
        <v>679</v>
      </c>
      <c r="B1005" s="10" t="s">
        <v>507</v>
      </c>
      <c r="C1005" s="10" t="s">
        <v>50</v>
      </c>
      <c r="D1005" s="10" t="s">
        <v>26</v>
      </c>
      <c r="E1005" s="10" t="s">
        <v>680</v>
      </c>
      <c r="F1005" s="10"/>
      <c r="G1005" s="11">
        <v>4000</v>
      </c>
      <c r="H1005" s="11">
        <v>4000</v>
      </c>
      <c r="I1005" s="7">
        <f t="shared" si="397"/>
        <v>0</v>
      </c>
      <c r="J1005" s="7">
        <f t="shared" si="397"/>
        <v>4000</v>
      </c>
      <c r="K1005" s="7">
        <f t="shared" si="397"/>
        <v>1500</v>
      </c>
      <c r="L1005" s="7">
        <f t="shared" si="397"/>
        <v>5500</v>
      </c>
      <c r="M1005" s="7">
        <f t="shared" si="397"/>
        <v>0</v>
      </c>
      <c r="N1005" s="7">
        <v>5500</v>
      </c>
      <c r="O1005" s="7">
        <v>5500</v>
      </c>
      <c r="P1005" s="349">
        <v>5500</v>
      </c>
      <c r="Q1005" s="257">
        <v>100</v>
      </c>
    </row>
    <row r="1006" spans="1:17" s="12" customFormat="1" ht="47.25">
      <c r="A1006" s="8" t="s">
        <v>422</v>
      </c>
      <c r="B1006" s="10" t="s">
        <v>507</v>
      </c>
      <c r="C1006" s="10" t="s">
        <v>50</v>
      </c>
      <c r="D1006" s="10" t="s">
        <v>26</v>
      </c>
      <c r="E1006" s="10" t="s">
        <v>680</v>
      </c>
      <c r="F1006" s="10" t="s">
        <v>375</v>
      </c>
      <c r="G1006" s="11">
        <v>4000</v>
      </c>
      <c r="H1006" s="31">
        <v>4000</v>
      </c>
      <c r="I1006" s="7"/>
      <c r="J1006" s="7">
        <f>H1006+I1006</f>
        <v>4000</v>
      </c>
      <c r="K1006" s="7">
        <f>1000+500</f>
        <v>1500</v>
      </c>
      <c r="L1006" s="7">
        <f>J1006+K1006</f>
        <v>5500</v>
      </c>
      <c r="M1006" s="7"/>
      <c r="N1006" s="7">
        <v>5500</v>
      </c>
      <c r="O1006" s="7">
        <v>5500</v>
      </c>
      <c r="P1006" s="349">
        <v>5500</v>
      </c>
      <c r="Q1006" s="257">
        <v>100</v>
      </c>
    </row>
    <row r="1007" spans="1:17" s="30" customFormat="1">
      <c r="A1007" s="26" t="s">
        <v>49</v>
      </c>
      <c r="B1007" s="27" t="s">
        <v>507</v>
      </c>
      <c r="C1007" s="73"/>
      <c r="D1007" s="27"/>
      <c r="E1007" s="27"/>
      <c r="F1007" s="27"/>
      <c r="G1007" s="28">
        <v>270141.90000000002</v>
      </c>
      <c r="H1007" s="28">
        <v>343434.7</v>
      </c>
      <c r="I1007" s="29" t="e">
        <f>I1008+I1018+I1024+I1040+I1085+I1125+I1117</f>
        <v>#REF!</v>
      </c>
      <c r="J1007" s="29" t="e">
        <f>J1008+J1018+J1024+J1040+J1085+J1125+J1117</f>
        <v>#REF!</v>
      </c>
      <c r="K1007" s="29" t="e">
        <f>K1008+K1018+K1024+K1040+K1085+K1125+K1117</f>
        <v>#REF!</v>
      </c>
      <c r="L1007" s="29" t="e">
        <f>L1008+L1018+L1024+L1040+L1085+L1125+L1117</f>
        <v>#REF!</v>
      </c>
      <c r="M1007" s="29" t="e">
        <f>M1008+M1018+M1024+M1040+M1085+M1125+M1117</f>
        <v>#REF!</v>
      </c>
      <c r="N1007" s="29">
        <v>1000979.5</v>
      </c>
      <c r="O1007" s="29">
        <v>997750.2</v>
      </c>
      <c r="P1007" s="348">
        <v>990598.2</v>
      </c>
      <c r="Q1007" s="256">
        <v>99.28</v>
      </c>
    </row>
    <row r="1008" spans="1:17" s="30" customFormat="1">
      <c r="A1008" s="26" t="s">
        <v>52</v>
      </c>
      <c r="B1008" s="27" t="s">
        <v>507</v>
      </c>
      <c r="C1008" s="27" t="s">
        <v>16</v>
      </c>
      <c r="D1008" s="27"/>
      <c r="E1008" s="27"/>
      <c r="F1008" s="27"/>
      <c r="G1008" s="28">
        <v>52.3</v>
      </c>
      <c r="H1008" s="28">
        <v>52.3</v>
      </c>
      <c r="I1008" s="29">
        <f t="shared" ref="I1008:M1008" si="398">I1009+I1013</f>
        <v>2710</v>
      </c>
      <c r="J1008" s="29">
        <f t="shared" si="398"/>
        <v>2762.3</v>
      </c>
      <c r="K1008" s="29">
        <f t="shared" si="398"/>
        <v>2200</v>
      </c>
      <c r="L1008" s="29">
        <f t="shared" si="398"/>
        <v>4962.3</v>
      </c>
      <c r="M1008" s="29">
        <f t="shared" si="398"/>
        <v>0</v>
      </c>
      <c r="N1008" s="29">
        <v>4962.3</v>
      </c>
      <c r="O1008" s="29">
        <v>4962.3</v>
      </c>
      <c r="P1008" s="348">
        <v>4962.3</v>
      </c>
      <c r="Q1008" s="256">
        <v>100</v>
      </c>
    </row>
    <row r="1009" spans="1:17" s="30" customFormat="1" ht="47.25">
      <c r="A1009" s="26" t="s">
        <v>162</v>
      </c>
      <c r="B1009" s="27" t="s">
        <v>507</v>
      </c>
      <c r="C1009" s="27" t="s">
        <v>16</v>
      </c>
      <c r="D1009" s="27" t="s">
        <v>11</v>
      </c>
      <c r="E1009" s="27"/>
      <c r="F1009" s="27"/>
      <c r="G1009" s="28">
        <v>52.3</v>
      </c>
      <c r="H1009" s="28">
        <v>52.3</v>
      </c>
      <c r="I1009" s="29">
        <f t="shared" ref="I1009:M1011" si="399">I1010</f>
        <v>0</v>
      </c>
      <c r="J1009" s="29">
        <f t="shared" si="399"/>
        <v>52.3</v>
      </c>
      <c r="K1009" s="29">
        <f t="shared" si="399"/>
        <v>0</v>
      </c>
      <c r="L1009" s="29">
        <f t="shared" si="399"/>
        <v>52.3</v>
      </c>
      <c r="M1009" s="29">
        <f t="shared" si="399"/>
        <v>0</v>
      </c>
      <c r="N1009" s="29">
        <v>52.3</v>
      </c>
      <c r="O1009" s="29">
        <v>52.3</v>
      </c>
      <c r="P1009" s="348">
        <v>52.3</v>
      </c>
      <c r="Q1009" s="256">
        <v>100</v>
      </c>
    </row>
    <row r="1010" spans="1:17" s="12" customFormat="1">
      <c r="A1010" s="8" t="s">
        <v>37</v>
      </c>
      <c r="B1010" s="10" t="s">
        <v>507</v>
      </c>
      <c r="C1010" s="10" t="s">
        <v>16</v>
      </c>
      <c r="D1010" s="10" t="s">
        <v>11</v>
      </c>
      <c r="E1010" s="10" t="s">
        <v>38</v>
      </c>
      <c r="F1010" s="10"/>
      <c r="G1010" s="11">
        <v>52.3</v>
      </c>
      <c r="H1010" s="11">
        <v>52.3</v>
      </c>
      <c r="I1010" s="7">
        <f t="shared" si="399"/>
        <v>0</v>
      </c>
      <c r="J1010" s="7">
        <f t="shared" si="399"/>
        <v>52.3</v>
      </c>
      <c r="K1010" s="7">
        <f t="shared" si="399"/>
        <v>0</v>
      </c>
      <c r="L1010" s="7">
        <f t="shared" si="399"/>
        <v>52.3</v>
      </c>
      <c r="M1010" s="7">
        <f t="shared" si="399"/>
        <v>0</v>
      </c>
      <c r="N1010" s="7">
        <v>52.3</v>
      </c>
      <c r="O1010" s="7">
        <v>52.3</v>
      </c>
      <c r="P1010" s="349">
        <v>52.3</v>
      </c>
      <c r="Q1010" s="257">
        <v>100</v>
      </c>
    </row>
    <row r="1011" spans="1:17" s="21" customFormat="1" ht="110.25">
      <c r="A1011" s="8" t="s">
        <v>670</v>
      </c>
      <c r="B1011" s="10" t="s">
        <v>507</v>
      </c>
      <c r="C1011" s="10" t="s">
        <v>16</v>
      </c>
      <c r="D1011" s="10" t="s">
        <v>11</v>
      </c>
      <c r="E1011" s="10" t="s">
        <v>587</v>
      </c>
      <c r="F1011" s="10"/>
      <c r="G1011" s="11">
        <v>52.3</v>
      </c>
      <c r="H1011" s="11">
        <v>52.3</v>
      </c>
      <c r="I1011" s="7">
        <f t="shared" si="399"/>
        <v>0</v>
      </c>
      <c r="J1011" s="7">
        <f t="shared" si="399"/>
        <v>52.3</v>
      </c>
      <c r="K1011" s="7">
        <f t="shared" si="399"/>
        <v>0</v>
      </c>
      <c r="L1011" s="7">
        <f t="shared" si="399"/>
        <v>52.3</v>
      </c>
      <c r="M1011" s="7">
        <f t="shared" si="399"/>
        <v>0</v>
      </c>
      <c r="N1011" s="7">
        <v>52.3</v>
      </c>
      <c r="O1011" s="7">
        <v>52.3</v>
      </c>
      <c r="P1011" s="349">
        <v>52.3</v>
      </c>
      <c r="Q1011" s="257">
        <v>100</v>
      </c>
    </row>
    <row r="1012" spans="1:17" s="21" customFormat="1">
      <c r="A1012" s="8" t="s">
        <v>435</v>
      </c>
      <c r="B1012" s="10" t="s">
        <v>507</v>
      </c>
      <c r="C1012" s="10" t="s">
        <v>16</v>
      </c>
      <c r="D1012" s="10" t="s">
        <v>11</v>
      </c>
      <c r="E1012" s="10" t="s">
        <v>587</v>
      </c>
      <c r="F1012" s="10" t="s">
        <v>432</v>
      </c>
      <c r="G1012" s="11">
        <v>52.3</v>
      </c>
      <c r="H1012" s="31">
        <v>52.3</v>
      </c>
      <c r="I1012" s="7"/>
      <c r="J1012" s="7">
        <f>H1012+I1012</f>
        <v>52.3</v>
      </c>
      <c r="K1012" s="7"/>
      <c r="L1012" s="7">
        <f>J1012+K1012</f>
        <v>52.3</v>
      </c>
      <c r="M1012" s="7"/>
      <c r="N1012" s="7">
        <v>52.3</v>
      </c>
      <c r="O1012" s="7">
        <v>52.3</v>
      </c>
      <c r="P1012" s="349">
        <v>52.3</v>
      </c>
      <c r="Q1012" s="257">
        <v>100</v>
      </c>
    </row>
    <row r="1013" spans="1:17" s="21" customFormat="1">
      <c r="A1013" s="26" t="s">
        <v>53</v>
      </c>
      <c r="B1013" s="27" t="s">
        <v>507</v>
      </c>
      <c r="C1013" s="27" t="s">
        <v>16</v>
      </c>
      <c r="D1013" s="27" t="s">
        <v>54</v>
      </c>
      <c r="E1013" s="10"/>
      <c r="F1013" s="10"/>
      <c r="G1013" s="11"/>
      <c r="H1013" s="60">
        <f>H1015</f>
        <v>0</v>
      </c>
      <c r="I1013" s="74">
        <f t="shared" ref="I1013:M1016" si="400">I1014</f>
        <v>2710</v>
      </c>
      <c r="J1013" s="74">
        <f t="shared" si="400"/>
        <v>2710</v>
      </c>
      <c r="K1013" s="74">
        <f t="shared" si="400"/>
        <v>2200</v>
      </c>
      <c r="L1013" s="74">
        <f t="shared" si="400"/>
        <v>4910</v>
      </c>
      <c r="M1013" s="74">
        <f t="shared" si="400"/>
        <v>0</v>
      </c>
      <c r="N1013" s="74">
        <v>4910</v>
      </c>
      <c r="O1013" s="74">
        <v>4910</v>
      </c>
      <c r="P1013" s="352">
        <v>4910</v>
      </c>
      <c r="Q1013" s="256">
        <v>100</v>
      </c>
    </row>
    <row r="1014" spans="1:17" s="21" customFormat="1">
      <c r="A1014" s="8" t="s">
        <v>17</v>
      </c>
      <c r="B1014" s="10" t="s">
        <v>507</v>
      </c>
      <c r="C1014" s="10" t="s">
        <v>16</v>
      </c>
      <c r="D1014" s="10" t="s">
        <v>54</v>
      </c>
      <c r="E1014" s="10" t="s">
        <v>18</v>
      </c>
      <c r="F1014" s="10"/>
      <c r="G1014" s="11"/>
      <c r="H1014" s="60"/>
      <c r="I1014" s="36">
        <f t="shared" si="400"/>
        <v>2710</v>
      </c>
      <c r="J1014" s="36">
        <f t="shared" si="400"/>
        <v>2710</v>
      </c>
      <c r="K1014" s="36">
        <f t="shared" si="400"/>
        <v>2200</v>
      </c>
      <c r="L1014" s="36">
        <f t="shared" si="400"/>
        <v>4910</v>
      </c>
      <c r="M1014" s="36">
        <f t="shared" si="400"/>
        <v>0</v>
      </c>
      <c r="N1014" s="36">
        <v>4910</v>
      </c>
      <c r="O1014" s="36">
        <v>4910</v>
      </c>
      <c r="P1014" s="350">
        <v>4910</v>
      </c>
      <c r="Q1014" s="257">
        <v>100</v>
      </c>
    </row>
    <row r="1015" spans="1:17" s="21" customFormat="1" ht="47.25">
      <c r="A1015" s="9" t="s">
        <v>221</v>
      </c>
      <c r="B1015" s="10" t="s">
        <v>507</v>
      </c>
      <c r="C1015" s="10" t="s">
        <v>16</v>
      </c>
      <c r="D1015" s="10" t="s">
        <v>54</v>
      </c>
      <c r="E1015" s="10" t="s">
        <v>222</v>
      </c>
      <c r="F1015" s="10"/>
      <c r="G1015" s="11"/>
      <c r="H1015" s="31">
        <f>H1016</f>
        <v>0</v>
      </c>
      <c r="I1015" s="36">
        <f t="shared" si="400"/>
        <v>2710</v>
      </c>
      <c r="J1015" s="36">
        <f t="shared" si="400"/>
        <v>2710</v>
      </c>
      <c r="K1015" s="36">
        <f t="shared" si="400"/>
        <v>2200</v>
      </c>
      <c r="L1015" s="36">
        <f t="shared" si="400"/>
        <v>4910</v>
      </c>
      <c r="M1015" s="36">
        <f t="shared" si="400"/>
        <v>0</v>
      </c>
      <c r="N1015" s="36">
        <v>4910</v>
      </c>
      <c r="O1015" s="36">
        <v>4910</v>
      </c>
      <c r="P1015" s="350">
        <v>4910</v>
      </c>
      <c r="Q1015" s="257">
        <v>100</v>
      </c>
    </row>
    <row r="1016" spans="1:17" s="21" customFormat="1" ht="31.5">
      <c r="A1016" s="9" t="s">
        <v>877</v>
      </c>
      <c r="B1016" s="10" t="s">
        <v>507</v>
      </c>
      <c r="C1016" s="10" t="s">
        <v>16</v>
      </c>
      <c r="D1016" s="10" t="s">
        <v>54</v>
      </c>
      <c r="E1016" s="10" t="s">
        <v>588</v>
      </c>
      <c r="F1016" s="10"/>
      <c r="G1016" s="11"/>
      <c r="H1016" s="31">
        <f>H1017</f>
        <v>0</v>
      </c>
      <c r="I1016" s="36">
        <f t="shared" si="400"/>
        <v>2710</v>
      </c>
      <c r="J1016" s="36">
        <f t="shared" si="400"/>
        <v>2710</v>
      </c>
      <c r="K1016" s="36">
        <f t="shared" si="400"/>
        <v>2200</v>
      </c>
      <c r="L1016" s="36">
        <f t="shared" si="400"/>
        <v>4910</v>
      </c>
      <c r="M1016" s="36">
        <f t="shared" si="400"/>
        <v>0</v>
      </c>
      <c r="N1016" s="36">
        <v>4910</v>
      </c>
      <c r="O1016" s="36">
        <v>4910</v>
      </c>
      <c r="P1016" s="350">
        <v>4910</v>
      </c>
      <c r="Q1016" s="257">
        <v>100</v>
      </c>
    </row>
    <row r="1017" spans="1:17" s="21" customFormat="1" ht="47.25">
      <c r="A1017" s="8" t="s">
        <v>438</v>
      </c>
      <c r="B1017" s="10" t="s">
        <v>507</v>
      </c>
      <c r="C1017" s="10" t="s">
        <v>16</v>
      </c>
      <c r="D1017" s="10" t="s">
        <v>54</v>
      </c>
      <c r="E1017" s="10" t="s">
        <v>588</v>
      </c>
      <c r="F1017" s="10" t="s">
        <v>385</v>
      </c>
      <c r="G1017" s="11"/>
      <c r="H1017" s="31"/>
      <c r="I1017" s="7">
        <v>2710</v>
      </c>
      <c r="J1017" s="7">
        <f>H1017+I1017</f>
        <v>2710</v>
      </c>
      <c r="K1017" s="7">
        <v>2200</v>
      </c>
      <c r="L1017" s="7">
        <f>J1017+K1017</f>
        <v>4910</v>
      </c>
      <c r="M1017" s="7"/>
      <c r="N1017" s="7">
        <v>4910</v>
      </c>
      <c r="O1017" s="7">
        <v>4910</v>
      </c>
      <c r="P1017" s="349">
        <v>4910</v>
      </c>
      <c r="Q1017" s="257">
        <v>100</v>
      </c>
    </row>
    <row r="1018" spans="1:17" ht="31.5">
      <c r="A1018" s="26" t="s">
        <v>265</v>
      </c>
      <c r="B1018" s="27" t="s">
        <v>507</v>
      </c>
      <c r="C1018" s="27" t="s">
        <v>28</v>
      </c>
      <c r="D1018" s="27"/>
      <c r="E1018" s="27"/>
      <c r="F1018" s="27"/>
      <c r="G1018" s="28">
        <v>3100</v>
      </c>
      <c r="H1018" s="28">
        <v>3100</v>
      </c>
      <c r="I1018" s="29">
        <f t="shared" ref="I1018:M1020" si="401">I1019</f>
        <v>0</v>
      </c>
      <c r="J1018" s="29">
        <f t="shared" si="401"/>
        <v>3100</v>
      </c>
      <c r="K1018" s="29">
        <f t="shared" si="401"/>
        <v>0</v>
      </c>
      <c r="L1018" s="29">
        <f t="shared" si="401"/>
        <v>3100</v>
      </c>
      <c r="M1018" s="29">
        <f t="shared" si="401"/>
        <v>0</v>
      </c>
      <c r="N1018" s="29">
        <v>3100</v>
      </c>
      <c r="O1018" s="29">
        <v>3100</v>
      </c>
      <c r="P1018" s="348">
        <v>3100</v>
      </c>
      <c r="Q1018" s="256">
        <v>100</v>
      </c>
    </row>
    <row r="1019" spans="1:17" ht="31.5">
      <c r="A1019" s="26" t="s">
        <v>309</v>
      </c>
      <c r="B1019" s="27" t="s">
        <v>507</v>
      </c>
      <c r="C1019" s="27" t="s">
        <v>28</v>
      </c>
      <c r="D1019" s="27" t="s">
        <v>200</v>
      </c>
      <c r="E1019" s="27"/>
      <c r="F1019" s="27"/>
      <c r="G1019" s="28">
        <v>3100</v>
      </c>
      <c r="H1019" s="28">
        <v>3100</v>
      </c>
      <c r="I1019" s="29">
        <f t="shared" si="401"/>
        <v>0</v>
      </c>
      <c r="J1019" s="29">
        <f t="shared" si="401"/>
        <v>3100</v>
      </c>
      <c r="K1019" s="29">
        <f t="shared" si="401"/>
        <v>0</v>
      </c>
      <c r="L1019" s="29">
        <f t="shared" si="401"/>
        <v>3100</v>
      </c>
      <c r="M1019" s="29">
        <f t="shared" si="401"/>
        <v>0</v>
      </c>
      <c r="N1019" s="29">
        <v>3100</v>
      </c>
      <c r="O1019" s="29">
        <v>3100</v>
      </c>
      <c r="P1019" s="348">
        <v>3100</v>
      </c>
      <c r="Q1019" s="256">
        <v>100</v>
      </c>
    </row>
    <row r="1020" spans="1:17" s="12" customFormat="1">
      <c r="A1020" s="8" t="s">
        <v>17</v>
      </c>
      <c r="B1020" s="10" t="s">
        <v>507</v>
      </c>
      <c r="C1020" s="10" t="s">
        <v>28</v>
      </c>
      <c r="D1020" s="10" t="s">
        <v>200</v>
      </c>
      <c r="E1020" s="10" t="s">
        <v>18</v>
      </c>
      <c r="F1020" s="10"/>
      <c r="G1020" s="11">
        <v>3100</v>
      </c>
      <c r="H1020" s="11">
        <v>3100</v>
      </c>
      <c r="I1020" s="7">
        <f t="shared" si="401"/>
        <v>0</v>
      </c>
      <c r="J1020" s="7">
        <f t="shared" si="401"/>
        <v>3100</v>
      </c>
      <c r="K1020" s="7">
        <f t="shared" si="401"/>
        <v>0</v>
      </c>
      <c r="L1020" s="7">
        <f t="shared" si="401"/>
        <v>3100</v>
      </c>
      <c r="M1020" s="7">
        <f t="shared" si="401"/>
        <v>0</v>
      </c>
      <c r="N1020" s="7">
        <v>3100</v>
      </c>
      <c r="O1020" s="7">
        <v>3100</v>
      </c>
      <c r="P1020" s="349">
        <v>3100</v>
      </c>
      <c r="Q1020" s="257">
        <v>100</v>
      </c>
    </row>
    <row r="1021" spans="1:17" s="12" customFormat="1" ht="47.25">
      <c r="A1021" s="8" t="s">
        <v>653</v>
      </c>
      <c r="B1021" s="10" t="s">
        <v>507</v>
      </c>
      <c r="C1021" s="10" t="s">
        <v>28</v>
      </c>
      <c r="D1021" s="10" t="s">
        <v>200</v>
      </c>
      <c r="E1021" s="10" t="s">
        <v>654</v>
      </c>
      <c r="F1021" s="10"/>
      <c r="G1021" s="11">
        <v>3100</v>
      </c>
      <c r="H1021" s="11">
        <v>3100</v>
      </c>
      <c r="I1021" s="7">
        <f t="shared" ref="I1021:M1021" si="402">I1022+I1023</f>
        <v>0</v>
      </c>
      <c r="J1021" s="7">
        <f t="shared" si="402"/>
        <v>3100</v>
      </c>
      <c r="K1021" s="7">
        <f t="shared" si="402"/>
        <v>0</v>
      </c>
      <c r="L1021" s="7">
        <f t="shared" si="402"/>
        <v>3100</v>
      </c>
      <c r="M1021" s="7">
        <f t="shared" si="402"/>
        <v>0</v>
      </c>
      <c r="N1021" s="7">
        <v>3100</v>
      </c>
      <c r="O1021" s="7">
        <v>3100</v>
      </c>
      <c r="P1021" s="349">
        <v>3100</v>
      </c>
      <c r="Q1021" s="257">
        <v>100</v>
      </c>
    </row>
    <row r="1022" spans="1:17" s="12" customFormat="1" ht="47.25">
      <c r="A1022" s="8" t="s">
        <v>438</v>
      </c>
      <c r="B1022" s="10" t="s">
        <v>507</v>
      </c>
      <c r="C1022" s="10" t="s">
        <v>28</v>
      </c>
      <c r="D1022" s="10" t="s">
        <v>200</v>
      </c>
      <c r="E1022" s="10" t="s">
        <v>654</v>
      </c>
      <c r="F1022" s="10" t="s">
        <v>385</v>
      </c>
      <c r="G1022" s="11">
        <v>1100</v>
      </c>
      <c r="H1022" s="31">
        <v>1100</v>
      </c>
      <c r="I1022" s="7"/>
      <c r="J1022" s="7">
        <f>H1022+I1022</f>
        <v>1100</v>
      </c>
      <c r="K1022" s="7"/>
      <c r="L1022" s="7">
        <f>J1022+K1022</f>
        <v>1100</v>
      </c>
      <c r="M1022" s="7"/>
      <c r="N1022" s="7">
        <v>1100</v>
      </c>
      <c r="O1022" s="7">
        <v>1100</v>
      </c>
      <c r="P1022" s="349">
        <v>1100</v>
      </c>
      <c r="Q1022" s="257">
        <v>100</v>
      </c>
    </row>
    <row r="1023" spans="1:17" s="12" customFormat="1" ht="31.5">
      <c r="A1023" s="8" t="s">
        <v>465</v>
      </c>
      <c r="B1023" s="10" t="s">
        <v>507</v>
      </c>
      <c r="C1023" s="10" t="s">
        <v>28</v>
      </c>
      <c r="D1023" s="10" t="s">
        <v>200</v>
      </c>
      <c r="E1023" s="10" t="s">
        <v>654</v>
      </c>
      <c r="F1023" s="10" t="s">
        <v>475</v>
      </c>
      <c r="G1023" s="11">
        <v>2000</v>
      </c>
      <c r="H1023" s="31">
        <v>2000</v>
      </c>
      <c r="I1023" s="7"/>
      <c r="J1023" s="7">
        <f>H1023+I1023</f>
        <v>2000</v>
      </c>
      <c r="K1023" s="7"/>
      <c r="L1023" s="7">
        <f>J1023+K1023</f>
        <v>2000</v>
      </c>
      <c r="M1023" s="7"/>
      <c r="N1023" s="7">
        <v>2000</v>
      </c>
      <c r="O1023" s="7">
        <v>2000</v>
      </c>
      <c r="P1023" s="349">
        <v>2000</v>
      </c>
      <c r="Q1023" s="257">
        <v>100</v>
      </c>
    </row>
    <row r="1024" spans="1:17" s="30" customFormat="1">
      <c r="A1024" s="26" t="s">
        <v>100</v>
      </c>
      <c r="B1024" s="27" t="s">
        <v>507</v>
      </c>
      <c r="C1024" s="27" t="s">
        <v>11</v>
      </c>
      <c r="D1024" s="27"/>
      <c r="E1024" s="27"/>
      <c r="F1024" s="27"/>
      <c r="G1024" s="28">
        <v>10000</v>
      </c>
      <c r="H1024" s="28">
        <v>65000</v>
      </c>
      <c r="I1024" s="29">
        <f>I1030+I1035</f>
        <v>0</v>
      </c>
      <c r="J1024" s="29">
        <f t="shared" ref="J1024:M1024" si="403">J1030+J1035+J1025</f>
        <v>65000</v>
      </c>
      <c r="K1024" s="29">
        <f t="shared" si="403"/>
        <v>2700</v>
      </c>
      <c r="L1024" s="29">
        <f t="shared" si="403"/>
        <v>67700</v>
      </c>
      <c r="M1024" s="29">
        <f t="shared" si="403"/>
        <v>0</v>
      </c>
      <c r="N1024" s="29">
        <v>67700</v>
      </c>
      <c r="O1024" s="29">
        <v>67700</v>
      </c>
      <c r="P1024" s="348">
        <v>67607.7</v>
      </c>
      <c r="Q1024" s="256">
        <v>99.86</v>
      </c>
    </row>
    <row r="1025" spans="1:17" s="30" customFormat="1">
      <c r="A1025" s="26" t="s">
        <v>306</v>
      </c>
      <c r="B1025" s="27" t="s">
        <v>507</v>
      </c>
      <c r="C1025" s="27" t="s">
        <v>11</v>
      </c>
      <c r="D1025" s="27" t="s">
        <v>56</v>
      </c>
      <c r="E1025" s="27"/>
      <c r="F1025" s="27"/>
      <c r="G1025" s="28"/>
      <c r="H1025" s="28"/>
      <c r="I1025" s="29"/>
      <c r="J1025" s="29">
        <f>J1026</f>
        <v>0</v>
      </c>
      <c r="K1025" s="29">
        <f t="shared" ref="K1025:M1028" si="404">K1026</f>
        <v>2700</v>
      </c>
      <c r="L1025" s="29">
        <f t="shared" si="404"/>
        <v>2700</v>
      </c>
      <c r="M1025" s="29">
        <f t="shared" si="404"/>
        <v>0</v>
      </c>
      <c r="N1025" s="29">
        <v>2700</v>
      </c>
      <c r="O1025" s="29">
        <v>2700</v>
      </c>
      <c r="P1025" s="348">
        <v>2617.6</v>
      </c>
      <c r="Q1025" s="256">
        <v>96.95</v>
      </c>
    </row>
    <row r="1026" spans="1:17" s="30" customFormat="1">
      <c r="A1026" s="8" t="s">
        <v>17</v>
      </c>
      <c r="B1026" s="10" t="s">
        <v>507</v>
      </c>
      <c r="C1026" s="10" t="s">
        <v>11</v>
      </c>
      <c r="D1026" s="10" t="s">
        <v>56</v>
      </c>
      <c r="E1026" s="10" t="s">
        <v>18</v>
      </c>
      <c r="F1026" s="10"/>
      <c r="G1026" s="11"/>
      <c r="H1026" s="11"/>
      <c r="I1026" s="7"/>
      <c r="J1026" s="7">
        <f>J1027</f>
        <v>0</v>
      </c>
      <c r="K1026" s="7">
        <f t="shared" si="404"/>
        <v>2700</v>
      </c>
      <c r="L1026" s="7">
        <f t="shared" si="404"/>
        <v>2700</v>
      </c>
      <c r="M1026" s="7">
        <f t="shared" si="404"/>
        <v>0</v>
      </c>
      <c r="N1026" s="7">
        <v>2700</v>
      </c>
      <c r="O1026" s="7">
        <v>2700</v>
      </c>
      <c r="P1026" s="349">
        <v>2617.6</v>
      </c>
      <c r="Q1026" s="257">
        <v>96.95</v>
      </c>
    </row>
    <row r="1027" spans="1:17" s="30" customFormat="1" ht="47.25">
      <c r="A1027" s="9" t="s">
        <v>221</v>
      </c>
      <c r="B1027" s="10" t="s">
        <v>507</v>
      </c>
      <c r="C1027" s="10" t="s">
        <v>11</v>
      </c>
      <c r="D1027" s="10" t="s">
        <v>56</v>
      </c>
      <c r="E1027" s="10" t="s">
        <v>222</v>
      </c>
      <c r="F1027" s="10"/>
      <c r="G1027" s="11"/>
      <c r="H1027" s="11"/>
      <c r="I1027" s="7"/>
      <c r="J1027" s="7">
        <f>J1028</f>
        <v>0</v>
      </c>
      <c r="K1027" s="7">
        <f t="shared" si="404"/>
        <v>2700</v>
      </c>
      <c r="L1027" s="7">
        <f t="shared" si="404"/>
        <v>2700</v>
      </c>
      <c r="M1027" s="7">
        <f t="shared" si="404"/>
        <v>0</v>
      </c>
      <c r="N1027" s="7">
        <v>2700</v>
      </c>
      <c r="O1027" s="7">
        <v>2700</v>
      </c>
      <c r="P1027" s="349">
        <v>2617.6</v>
      </c>
      <c r="Q1027" s="257">
        <v>96.95</v>
      </c>
    </row>
    <row r="1028" spans="1:17" s="30" customFormat="1" ht="94.5">
      <c r="A1028" s="8" t="s">
        <v>583</v>
      </c>
      <c r="B1028" s="10" t="s">
        <v>507</v>
      </c>
      <c r="C1028" s="10" t="s">
        <v>11</v>
      </c>
      <c r="D1028" s="10" t="s">
        <v>56</v>
      </c>
      <c r="E1028" s="10" t="s">
        <v>584</v>
      </c>
      <c r="F1028" s="10"/>
      <c r="G1028" s="11"/>
      <c r="H1028" s="11"/>
      <c r="I1028" s="7"/>
      <c r="J1028" s="7">
        <f>J1029</f>
        <v>0</v>
      </c>
      <c r="K1028" s="7">
        <f t="shared" si="404"/>
        <v>2700</v>
      </c>
      <c r="L1028" s="7">
        <f t="shared" si="404"/>
        <v>2700</v>
      </c>
      <c r="M1028" s="7">
        <f t="shared" si="404"/>
        <v>0</v>
      </c>
      <c r="N1028" s="7">
        <v>2700</v>
      </c>
      <c r="O1028" s="7">
        <v>2700</v>
      </c>
      <c r="P1028" s="349">
        <v>2617.6</v>
      </c>
      <c r="Q1028" s="257">
        <v>96.95</v>
      </c>
    </row>
    <row r="1029" spans="1:17" s="30" customFormat="1" ht="47.25">
      <c r="A1029" s="8" t="s">
        <v>438</v>
      </c>
      <c r="B1029" s="10" t="s">
        <v>507</v>
      </c>
      <c r="C1029" s="10" t="s">
        <v>11</v>
      </c>
      <c r="D1029" s="10" t="s">
        <v>56</v>
      </c>
      <c r="E1029" s="10" t="s">
        <v>584</v>
      </c>
      <c r="F1029" s="10" t="s">
        <v>385</v>
      </c>
      <c r="G1029" s="11"/>
      <c r="H1029" s="11"/>
      <c r="I1029" s="7"/>
      <c r="J1029" s="7"/>
      <c r="K1029" s="7">
        <v>2700</v>
      </c>
      <c r="L1029" s="7">
        <f>J1029+K1029</f>
        <v>2700</v>
      </c>
      <c r="M1029" s="7"/>
      <c r="N1029" s="7">
        <v>2700</v>
      </c>
      <c r="O1029" s="7">
        <v>2700</v>
      </c>
      <c r="P1029" s="349">
        <v>2617.6</v>
      </c>
      <c r="Q1029" s="257">
        <v>96.95</v>
      </c>
    </row>
    <row r="1030" spans="1:17" s="30" customFormat="1">
      <c r="A1030" s="26" t="s">
        <v>469</v>
      </c>
      <c r="B1030" s="27" t="s">
        <v>507</v>
      </c>
      <c r="C1030" s="27" t="s">
        <v>11</v>
      </c>
      <c r="D1030" s="27" t="s">
        <v>14</v>
      </c>
      <c r="E1030" s="27"/>
      <c r="F1030" s="27"/>
      <c r="G1030" s="28">
        <v>0</v>
      </c>
      <c r="H1030" s="28">
        <v>55000</v>
      </c>
      <c r="I1030" s="29">
        <f t="shared" ref="I1030:M1031" si="405">I1031</f>
        <v>0</v>
      </c>
      <c r="J1030" s="29">
        <f t="shared" si="405"/>
        <v>55000</v>
      </c>
      <c r="K1030" s="29">
        <f t="shared" si="405"/>
        <v>0</v>
      </c>
      <c r="L1030" s="29">
        <f t="shared" si="405"/>
        <v>55000</v>
      </c>
      <c r="M1030" s="29">
        <f t="shared" si="405"/>
        <v>0</v>
      </c>
      <c r="N1030" s="29">
        <v>55000</v>
      </c>
      <c r="O1030" s="29">
        <v>55000</v>
      </c>
      <c r="P1030" s="348">
        <v>54990.1</v>
      </c>
      <c r="Q1030" s="256">
        <v>99.98</v>
      </c>
    </row>
    <row r="1031" spans="1:17" s="12" customFormat="1">
      <c r="A1031" s="8" t="s">
        <v>17</v>
      </c>
      <c r="B1031" s="10" t="s">
        <v>507</v>
      </c>
      <c r="C1031" s="10" t="s">
        <v>11</v>
      </c>
      <c r="D1031" s="10" t="s">
        <v>14</v>
      </c>
      <c r="E1031" s="10" t="s">
        <v>18</v>
      </c>
      <c r="F1031" s="10"/>
      <c r="G1031" s="11">
        <v>0</v>
      </c>
      <c r="H1031" s="11">
        <v>55000</v>
      </c>
      <c r="I1031" s="7">
        <f t="shared" si="405"/>
        <v>0</v>
      </c>
      <c r="J1031" s="7">
        <f t="shared" si="405"/>
        <v>55000</v>
      </c>
      <c r="K1031" s="7">
        <f t="shared" si="405"/>
        <v>0</v>
      </c>
      <c r="L1031" s="7">
        <f t="shared" si="405"/>
        <v>55000</v>
      </c>
      <c r="M1031" s="7">
        <f t="shared" si="405"/>
        <v>0</v>
      </c>
      <c r="N1031" s="7">
        <v>55000</v>
      </c>
      <c r="O1031" s="7">
        <v>55000</v>
      </c>
      <c r="P1031" s="349">
        <v>54990.1</v>
      </c>
      <c r="Q1031" s="257">
        <v>99.98</v>
      </c>
    </row>
    <row r="1032" spans="1:17" s="12" customFormat="1" ht="31.5">
      <c r="A1032" s="8" t="s">
        <v>218</v>
      </c>
      <c r="B1032" s="10" t="s">
        <v>507</v>
      </c>
      <c r="C1032" s="10" t="s">
        <v>11</v>
      </c>
      <c r="D1032" s="10" t="s">
        <v>14</v>
      </c>
      <c r="E1032" s="10" t="s">
        <v>219</v>
      </c>
      <c r="F1032" s="10"/>
      <c r="G1032" s="11">
        <v>0</v>
      </c>
      <c r="H1032" s="11">
        <v>55000</v>
      </c>
      <c r="I1032" s="7">
        <f t="shared" ref="I1032:M1032" si="406">I1033+I1034</f>
        <v>0</v>
      </c>
      <c r="J1032" s="7">
        <f t="shared" si="406"/>
        <v>55000</v>
      </c>
      <c r="K1032" s="7">
        <f t="shared" si="406"/>
        <v>0</v>
      </c>
      <c r="L1032" s="7">
        <f t="shared" si="406"/>
        <v>55000</v>
      </c>
      <c r="M1032" s="7">
        <f t="shared" si="406"/>
        <v>0</v>
      </c>
      <c r="N1032" s="7">
        <v>55000</v>
      </c>
      <c r="O1032" s="7">
        <v>55000</v>
      </c>
      <c r="P1032" s="349">
        <v>54990.1</v>
      </c>
      <c r="Q1032" s="257">
        <v>99.98</v>
      </c>
    </row>
    <row r="1033" spans="1:17" s="12" customFormat="1" ht="47.25">
      <c r="A1033" s="8" t="s">
        <v>438</v>
      </c>
      <c r="B1033" s="10" t="s">
        <v>507</v>
      </c>
      <c r="C1033" s="10" t="s">
        <v>11</v>
      </c>
      <c r="D1033" s="10" t="s">
        <v>14</v>
      </c>
      <c r="E1033" s="10" t="s">
        <v>219</v>
      </c>
      <c r="F1033" s="10" t="s">
        <v>385</v>
      </c>
      <c r="G1033" s="11">
        <v>0</v>
      </c>
      <c r="H1033" s="31">
        <v>50000</v>
      </c>
      <c r="I1033" s="7"/>
      <c r="J1033" s="7">
        <f>H1033+I1033</f>
        <v>50000</v>
      </c>
      <c r="K1033" s="7">
        <f>-11247.3+3148.3</f>
        <v>-8099</v>
      </c>
      <c r="L1033" s="7">
        <f>J1033+K1033</f>
        <v>41901</v>
      </c>
      <c r="M1033" s="7"/>
      <c r="N1033" s="7">
        <v>41901</v>
      </c>
      <c r="O1033" s="7">
        <v>41901</v>
      </c>
      <c r="P1033" s="349">
        <v>41891.1</v>
      </c>
      <c r="Q1033" s="257">
        <v>99.98</v>
      </c>
    </row>
    <row r="1034" spans="1:17" s="12" customFormat="1" ht="31.5">
      <c r="A1034" s="8" t="s">
        <v>465</v>
      </c>
      <c r="B1034" s="10" t="s">
        <v>507</v>
      </c>
      <c r="C1034" s="10" t="s">
        <v>11</v>
      </c>
      <c r="D1034" s="10" t="s">
        <v>14</v>
      </c>
      <c r="E1034" s="10" t="s">
        <v>219</v>
      </c>
      <c r="F1034" s="10" t="s">
        <v>475</v>
      </c>
      <c r="G1034" s="11">
        <v>0</v>
      </c>
      <c r="H1034" s="31">
        <v>5000</v>
      </c>
      <c r="I1034" s="7"/>
      <c r="J1034" s="7">
        <f>H1034+I1034</f>
        <v>5000</v>
      </c>
      <c r="K1034" s="7">
        <f>11247.3-3148.3</f>
        <v>8099</v>
      </c>
      <c r="L1034" s="7">
        <f>J1034+K1034</f>
        <v>13099</v>
      </c>
      <c r="M1034" s="7"/>
      <c r="N1034" s="7">
        <v>13099</v>
      </c>
      <c r="O1034" s="7">
        <v>13099</v>
      </c>
      <c r="P1034" s="349">
        <v>13099</v>
      </c>
      <c r="Q1034" s="257">
        <v>100</v>
      </c>
    </row>
    <row r="1035" spans="1:17" s="30" customFormat="1">
      <c r="A1035" s="26" t="s">
        <v>158</v>
      </c>
      <c r="B1035" s="27" t="s">
        <v>507</v>
      </c>
      <c r="C1035" s="27" t="s">
        <v>11</v>
      </c>
      <c r="D1035" s="27">
        <v>12</v>
      </c>
      <c r="E1035" s="27"/>
      <c r="F1035" s="27"/>
      <c r="G1035" s="28">
        <v>10000</v>
      </c>
      <c r="H1035" s="28">
        <v>10000</v>
      </c>
      <c r="I1035" s="29">
        <f t="shared" ref="I1035:M1038" si="407">I1036</f>
        <v>0</v>
      </c>
      <c r="J1035" s="29">
        <f t="shared" si="407"/>
        <v>10000</v>
      </c>
      <c r="K1035" s="29">
        <f t="shared" si="407"/>
        <v>0</v>
      </c>
      <c r="L1035" s="29">
        <f t="shared" si="407"/>
        <v>10000</v>
      </c>
      <c r="M1035" s="29">
        <f t="shared" si="407"/>
        <v>0</v>
      </c>
      <c r="N1035" s="29">
        <v>10000</v>
      </c>
      <c r="O1035" s="29">
        <v>10000</v>
      </c>
      <c r="P1035" s="348">
        <v>10000</v>
      </c>
      <c r="Q1035" s="256">
        <v>100</v>
      </c>
    </row>
    <row r="1036" spans="1:17" s="30" customFormat="1">
      <c r="A1036" s="8" t="s">
        <v>17</v>
      </c>
      <c r="B1036" s="10" t="s">
        <v>507</v>
      </c>
      <c r="C1036" s="10" t="s">
        <v>11</v>
      </c>
      <c r="D1036" s="10">
        <v>12</v>
      </c>
      <c r="E1036" s="10" t="s">
        <v>18</v>
      </c>
      <c r="F1036" s="10"/>
      <c r="G1036" s="11">
        <v>10000</v>
      </c>
      <c r="H1036" s="11">
        <v>10000</v>
      </c>
      <c r="I1036" s="7">
        <f t="shared" si="407"/>
        <v>0</v>
      </c>
      <c r="J1036" s="7">
        <f t="shared" si="407"/>
        <v>10000</v>
      </c>
      <c r="K1036" s="7">
        <f t="shared" si="407"/>
        <v>0</v>
      </c>
      <c r="L1036" s="7">
        <f t="shared" si="407"/>
        <v>10000</v>
      </c>
      <c r="M1036" s="7">
        <f t="shared" si="407"/>
        <v>0</v>
      </c>
      <c r="N1036" s="7">
        <v>10000</v>
      </c>
      <c r="O1036" s="7">
        <v>10000</v>
      </c>
      <c r="P1036" s="349">
        <v>10000</v>
      </c>
      <c r="Q1036" s="257">
        <v>100</v>
      </c>
    </row>
    <row r="1037" spans="1:17" s="30" customFormat="1">
      <c r="A1037" s="8" t="s">
        <v>83</v>
      </c>
      <c r="B1037" s="10" t="s">
        <v>507</v>
      </c>
      <c r="C1037" s="10" t="s">
        <v>11</v>
      </c>
      <c r="D1037" s="10">
        <v>12</v>
      </c>
      <c r="E1037" s="10" t="s">
        <v>84</v>
      </c>
      <c r="F1037" s="10"/>
      <c r="G1037" s="11">
        <v>10000</v>
      </c>
      <c r="H1037" s="11">
        <v>10000</v>
      </c>
      <c r="I1037" s="7">
        <f t="shared" si="407"/>
        <v>0</v>
      </c>
      <c r="J1037" s="7">
        <f t="shared" si="407"/>
        <v>10000</v>
      </c>
      <c r="K1037" s="7">
        <f t="shared" si="407"/>
        <v>0</v>
      </c>
      <c r="L1037" s="7">
        <f t="shared" si="407"/>
        <v>10000</v>
      </c>
      <c r="M1037" s="7">
        <f t="shared" si="407"/>
        <v>0</v>
      </c>
      <c r="N1037" s="7">
        <v>10000</v>
      </c>
      <c r="O1037" s="7">
        <v>10000</v>
      </c>
      <c r="P1037" s="349">
        <v>10000</v>
      </c>
      <c r="Q1037" s="257">
        <v>100</v>
      </c>
    </row>
    <row r="1038" spans="1:17" s="30" customFormat="1" ht="47.25">
      <c r="A1038" s="8" t="s">
        <v>537</v>
      </c>
      <c r="B1038" s="10" t="s">
        <v>507</v>
      </c>
      <c r="C1038" s="10" t="s">
        <v>11</v>
      </c>
      <c r="D1038" s="10">
        <v>12</v>
      </c>
      <c r="E1038" s="10" t="s">
        <v>220</v>
      </c>
      <c r="F1038" s="10"/>
      <c r="G1038" s="11">
        <v>10000</v>
      </c>
      <c r="H1038" s="11">
        <v>10000</v>
      </c>
      <c r="I1038" s="7">
        <f t="shared" si="407"/>
        <v>0</v>
      </c>
      <c r="J1038" s="7">
        <f t="shared" si="407"/>
        <v>10000</v>
      </c>
      <c r="K1038" s="7">
        <f t="shared" si="407"/>
        <v>0</v>
      </c>
      <c r="L1038" s="7">
        <f t="shared" si="407"/>
        <v>10000</v>
      </c>
      <c r="M1038" s="7">
        <f t="shared" si="407"/>
        <v>0</v>
      </c>
      <c r="N1038" s="7">
        <v>10000</v>
      </c>
      <c r="O1038" s="7">
        <v>10000</v>
      </c>
      <c r="P1038" s="349">
        <v>10000</v>
      </c>
      <c r="Q1038" s="257">
        <v>100</v>
      </c>
    </row>
    <row r="1039" spans="1:17" s="30" customFormat="1" ht="47.25">
      <c r="A1039" s="8" t="s">
        <v>438</v>
      </c>
      <c r="B1039" s="10" t="s">
        <v>507</v>
      </c>
      <c r="C1039" s="10" t="s">
        <v>11</v>
      </c>
      <c r="D1039" s="10">
        <v>12</v>
      </c>
      <c r="E1039" s="10" t="s">
        <v>220</v>
      </c>
      <c r="F1039" s="10" t="s">
        <v>385</v>
      </c>
      <c r="G1039" s="11">
        <v>10000</v>
      </c>
      <c r="H1039" s="31">
        <v>10000</v>
      </c>
      <c r="I1039" s="7"/>
      <c r="J1039" s="7">
        <f>H1039+I1039</f>
        <v>10000</v>
      </c>
      <c r="K1039" s="7"/>
      <c r="L1039" s="7">
        <f>J1039+K1039</f>
        <v>10000</v>
      </c>
      <c r="M1039" s="7"/>
      <c r="N1039" s="7">
        <v>10000</v>
      </c>
      <c r="O1039" s="7">
        <v>10000</v>
      </c>
      <c r="P1039" s="349">
        <v>10000</v>
      </c>
      <c r="Q1039" s="257">
        <v>100</v>
      </c>
    </row>
    <row r="1040" spans="1:17" s="30" customFormat="1">
      <c r="A1040" s="26" t="s">
        <v>137</v>
      </c>
      <c r="B1040" s="27" t="s">
        <v>507</v>
      </c>
      <c r="C1040" s="27" t="s">
        <v>31</v>
      </c>
      <c r="D1040" s="27"/>
      <c r="E1040" s="27"/>
      <c r="F1040" s="27"/>
      <c r="G1040" s="28">
        <v>132418.4</v>
      </c>
      <c r="H1040" s="28">
        <v>147320.4</v>
      </c>
      <c r="I1040" s="29" t="e">
        <f>I1041+I1052+I1080</f>
        <v>#REF!</v>
      </c>
      <c r="J1040" s="29" t="e">
        <f>J1041+J1052+J1080</f>
        <v>#REF!</v>
      </c>
      <c r="K1040" s="29" t="e">
        <f>K1041+K1052+K1080</f>
        <v>#REF!</v>
      </c>
      <c r="L1040" s="29" t="e">
        <f>L1041+L1052+L1080</f>
        <v>#REF!</v>
      </c>
      <c r="M1040" s="29" t="e">
        <f>M1041+M1052+M1080</f>
        <v>#REF!</v>
      </c>
      <c r="N1040" s="29">
        <v>616906.9</v>
      </c>
      <c r="O1040" s="29">
        <v>616906.9</v>
      </c>
      <c r="P1040" s="348">
        <v>609847.19999999995</v>
      </c>
      <c r="Q1040" s="256">
        <v>98.86</v>
      </c>
    </row>
    <row r="1041" spans="1:17" s="30" customFormat="1">
      <c r="A1041" s="26" t="s">
        <v>470</v>
      </c>
      <c r="B1041" s="27" t="s">
        <v>507</v>
      </c>
      <c r="C1041" s="27" t="s">
        <v>31</v>
      </c>
      <c r="D1041" s="27" t="s">
        <v>16</v>
      </c>
      <c r="E1041" s="27"/>
      <c r="F1041" s="27"/>
      <c r="G1041" s="28">
        <v>39700</v>
      </c>
      <c r="H1041" s="28">
        <v>39700</v>
      </c>
      <c r="I1041" s="29" t="e">
        <f>#REF!+I1042</f>
        <v>#REF!</v>
      </c>
      <c r="J1041" s="75" t="e">
        <f>J1042+#REF!</f>
        <v>#REF!</v>
      </c>
      <c r="K1041" s="75" t="e">
        <f>K1042+#REF!</f>
        <v>#REF!</v>
      </c>
      <c r="L1041" s="75" t="e">
        <f>L1042+#REF!</f>
        <v>#REF!</v>
      </c>
      <c r="M1041" s="75" t="e">
        <f>M1042+#REF!</f>
        <v>#REF!</v>
      </c>
      <c r="N1041" s="29">
        <v>378923.4</v>
      </c>
      <c r="O1041" s="29">
        <v>378923.4</v>
      </c>
      <c r="P1041" s="348">
        <v>372043.7</v>
      </c>
      <c r="Q1041" s="256">
        <v>98.18</v>
      </c>
    </row>
    <row r="1042" spans="1:17" s="12" customFormat="1" ht="47.25">
      <c r="A1042" s="8" t="s">
        <v>852</v>
      </c>
      <c r="B1042" s="10" t="s">
        <v>507</v>
      </c>
      <c r="C1042" s="10" t="s">
        <v>31</v>
      </c>
      <c r="D1042" s="10" t="s">
        <v>16</v>
      </c>
      <c r="E1042" s="10" t="s">
        <v>848</v>
      </c>
      <c r="F1042" s="10"/>
      <c r="G1042" s="11"/>
      <c r="H1042" s="11">
        <f>H1047</f>
        <v>0</v>
      </c>
      <c r="I1042" s="11">
        <f>I1047</f>
        <v>41300</v>
      </c>
      <c r="J1042" s="76">
        <f>J1047</f>
        <v>41300</v>
      </c>
      <c r="K1042" s="76">
        <f t="shared" ref="K1042:M1042" si="408">K1047+K1043+K1045</f>
        <v>337623.4</v>
      </c>
      <c r="L1042" s="76">
        <f t="shared" si="408"/>
        <v>378923.4</v>
      </c>
      <c r="M1042" s="76">
        <f t="shared" si="408"/>
        <v>0</v>
      </c>
      <c r="N1042" s="52">
        <v>378923.4</v>
      </c>
      <c r="O1042" s="52">
        <v>378923.4</v>
      </c>
      <c r="P1042" s="349">
        <v>372043.7</v>
      </c>
      <c r="Q1042" s="257">
        <v>98.18</v>
      </c>
    </row>
    <row r="1043" spans="1:17" s="12" customFormat="1" ht="31.5">
      <c r="A1043" s="8" t="s">
        <v>935</v>
      </c>
      <c r="B1043" s="10" t="s">
        <v>507</v>
      </c>
      <c r="C1043" s="10" t="s">
        <v>31</v>
      </c>
      <c r="D1043" s="10" t="s">
        <v>16</v>
      </c>
      <c r="E1043" s="10" t="s">
        <v>934</v>
      </c>
      <c r="F1043" s="10"/>
      <c r="G1043" s="11"/>
      <c r="H1043" s="11"/>
      <c r="I1043" s="11"/>
      <c r="J1043" s="76"/>
      <c r="K1043" s="76">
        <f t="shared" ref="K1043:M1043" si="409">K1044</f>
        <v>24212.5</v>
      </c>
      <c r="L1043" s="76">
        <f t="shared" si="409"/>
        <v>24212.5</v>
      </c>
      <c r="M1043" s="76">
        <f t="shared" si="409"/>
        <v>0</v>
      </c>
      <c r="N1043" s="52">
        <v>24212.5</v>
      </c>
      <c r="O1043" s="52">
        <v>24212.5</v>
      </c>
      <c r="P1043" s="349">
        <v>24212.5</v>
      </c>
      <c r="Q1043" s="257">
        <v>100</v>
      </c>
    </row>
    <row r="1044" spans="1:17" s="12" customFormat="1" ht="47.25">
      <c r="A1044" s="8" t="s">
        <v>438</v>
      </c>
      <c r="B1044" s="10" t="s">
        <v>507</v>
      </c>
      <c r="C1044" s="10" t="s">
        <v>31</v>
      </c>
      <c r="D1044" s="10" t="s">
        <v>16</v>
      </c>
      <c r="E1044" s="10" t="s">
        <v>934</v>
      </c>
      <c r="F1044" s="10" t="s">
        <v>385</v>
      </c>
      <c r="G1044" s="11"/>
      <c r="H1044" s="11"/>
      <c r="I1044" s="11"/>
      <c r="J1044" s="76"/>
      <c r="K1044" s="76">
        <v>24212.5</v>
      </c>
      <c r="L1044" s="76">
        <f>J1044+K1044</f>
        <v>24212.5</v>
      </c>
      <c r="M1044" s="76"/>
      <c r="N1044" s="52">
        <v>24212.5</v>
      </c>
      <c r="O1044" s="7">
        <v>24212.5</v>
      </c>
      <c r="P1044" s="349">
        <v>24212.5</v>
      </c>
      <c r="Q1044" s="257">
        <v>100</v>
      </c>
    </row>
    <row r="1045" spans="1:17" s="12" customFormat="1" ht="31.5">
      <c r="A1045" s="8" t="s">
        <v>855</v>
      </c>
      <c r="B1045" s="10" t="s">
        <v>507</v>
      </c>
      <c r="C1045" s="10" t="s">
        <v>31</v>
      </c>
      <c r="D1045" s="10" t="s">
        <v>16</v>
      </c>
      <c r="E1045" s="10" t="s">
        <v>936</v>
      </c>
      <c r="F1045" s="10"/>
      <c r="G1045" s="11"/>
      <c r="H1045" s="11"/>
      <c r="I1045" s="11"/>
      <c r="J1045" s="76"/>
      <c r="K1045" s="76">
        <f>K1046</f>
        <v>310185.90000000002</v>
      </c>
      <c r="L1045" s="76">
        <f>L1046</f>
        <v>310185.90000000002</v>
      </c>
      <c r="M1045" s="76">
        <f>M1046</f>
        <v>0</v>
      </c>
      <c r="N1045" s="52">
        <v>310185.90000000002</v>
      </c>
      <c r="O1045" s="52">
        <v>310185.90000000002</v>
      </c>
      <c r="P1045" s="349">
        <v>309324.3</v>
      </c>
      <c r="Q1045" s="257">
        <v>99.72</v>
      </c>
    </row>
    <row r="1046" spans="1:17" s="12" customFormat="1" ht="47.25">
      <c r="A1046" s="8" t="s">
        <v>438</v>
      </c>
      <c r="B1046" s="10" t="s">
        <v>507</v>
      </c>
      <c r="C1046" s="10" t="s">
        <v>31</v>
      </c>
      <c r="D1046" s="10" t="s">
        <v>16</v>
      </c>
      <c r="E1046" s="10" t="s">
        <v>936</v>
      </c>
      <c r="F1046" s="10" t="s">
        <v>385</v>
      </c>
      <c r="G1046" s="11"/>
      <c r="H1046" s="11"/>
      <c r="I1046" s="11"/>
      <c r="J1046" s="76"/>
      <c r="K1046" s="76">
        <v>310185.90000000002</v>
      </c>
      <c r="L1046" s="76">
        <f>K1046</f>
        <v>310185.90000000002</v>
      </c>
      <c r="M1046" s="76"/>
      <c r="N1046" s="52">
        <v>310185.90000000002</v>
      </c>
      <c r="O1046" s="7">
        <v>310185.90000000002</v>
      </c>
      <c r="P1046" s="349">
        <v>309324.3</v>
      </c>
      <c r="Q1046" s="257">
        <v>99.72</v>
      </c>
    </row>
    <row r="1047" spans="1:17" s="30" customFormat="1" ht="47.25">
      <c r="A1047" s="8" t="s">
        <v>853</v>
      </c>
      <c r="B1047" s="10" t="s">
        <v>507</v>
      </c>
      <c r="C1047" s="10" t="s">
        <v>31</v>
      </c>
      <c r="D1047" s="10" t="s">
        <v>16</v>
      </c>
      <c r="E1047" s="10" t="s">
        <v>849</v>
      </c>
      <c r="F1047" s="10"/>
      <c r="G1047" s="11"/>
      <c r="H1047" s="11">
        <f t="shared" ref="H1047:M1047" si="410">H1048+H1050</f>
        <v>0</v>
      </c>
      <c r="I1047" s="11">
        <f t="shared" si="410"/>
        <v>41300</v>
      </c>
      <c r="J1047" s="76">
        <f t="shared" si="410"/>
        <v>41300</v>
      </c>
      <c r="K1047" s="76">
        <f t="shared" si="410"/>
        <v>3225</v>
      </c>
      <c r="L1047" s="76">
        <f t="shared" si="410"/>
        <v>44525</v>
      </c>
      <c r="M1047" s="76">
        <f t="shared" si="410"/>
        <v>0</v>
      </c>
      <c r="N1047" s="52">
        <v>44525</v>
      </c>
      <c r="O1047" s="52">
        <v>44525</v>
      </c>
      <c r="P1047" s="349">
        <v>38506.9</v>
      </c>
      <c r="Q1047" s="257">
        <v>86.48</v>
      </c>
    </row>
    <row r="1048" spans="1:17" s="30" customFormat="1" ht="31.5">
      <c r="A1048" s="8" t="s">
        <v>854</v>
      </c>
      <c r="B1048" s="10" t="s">
        <v>507</v>
      </c>
      <c r="C1048" s="10" t="s">
        <v>31</v>
      </c>
      <c r="D1048" s="10" t="s">
        <v>16</v>
      </c>
      <c r="E1048" s="10" t="s">
        <v>850</v>
      </c>
      <c r="F1048" s="10"/>
      <c r="G1048" s="11"/>
      <c r="H1048" s="11">
        <f t="shared" ref="H1048:M1048" si="411">H1049</f>
        <v>0</v>
      </c>
      <c r="I1048" s="11">
        <f t="shared" si="411"/>
        <v>6600</v>
      </c>
      <c r="J1048" s="76">
        <f t="shared" si="411"/>
        <v>6600</v>
      </c>
      <c r="K1048" s="76">
        <f t="shared" si="411"/>
        <v>3225</v>
      </c>
      <c r="L1048" s="76">
        <f t="shared" si="411"/>
        <v>9825</v>
      </c>
      <c r="M1048" s="76">
        <f t="shared" si="411"/>
        <v>0</v>
      </c>
      <c r="N1048" s="52">
        <v>9825</v>
      </c>
      <c r="O1048" s="52">
        <v>9825</v>
      </c>
      <c r="P1048" s="349">
        <v>9825</v>
      </c>
      <c r="Q1048" s="257">
        <v>100</v>
      </c>
    </row>
    <row r="1049" spans="1:17" s="30" customFormat="1" ht="47.25">
      <c r="A1049" s="8" t="s">
        <v>438</v>
      </c>
      <c r="B1049" s="10" t="s">
        <v>507</v>
      </c>
      <c r="C1049" s="10" t="s">
        <v>31</v>
      </c>
      <c r="D1049" s="10" t="s">
        <v>16</v>
      </c>
      <c r="E1049" s="10" t="s">
        <v>850</v>
      </c>
      <c r="F1049" s="10" t="s">
        <v>385</v>
      </c>
      <c r="G1049" s="11"/>
      <c r="H1049" s="11"/>
      <c r="I1049" s="7">
        <f>5000+1600</f>
        <v>6600</v>
      </c>
      <c r="J1049" s="7">
        <f>H1049+I1049</f>
        <v>6600</v>
      </c>
      <c r="K1049" s="7">
        <v>3225</v>
      </c>
      <c r="L1049" s="7">
        <f>J1049+K1049</f>
        <v>9825</v>
      </c>
      <c r="M1049" s="7"/>
      <c r="N1049" s="52">
        <v>9825</v>
      </c>
      <c r="O1049" s="7">
        <v>9825</v>
      </c>
      <c r="P1049" s="349">
        <v>9825</v>
      </c>
      <c r="Q1049" s="257">
        <v>100</v>
      </c>
    </row>
    <row r="1050" spans="1:17" s="30" customFormat="1" ht="31.5">
      <c r="A1050" s="8" t="s">
        <v>855</v>
      </c>
      <c r="B1050" s="10" t="s">
        <v>507</v>
      </c>
      <c r="C1050" s="10" t="s">
        <v>31</v>
      </c>
      <c r="D1050" s="10" t="s">
        <v>16</v>
      </c>
      <c r="E1050" s="10" t="s">
        <v>851</v>
      </c>
      <c r="F1050" s="10"/>
      <c r="G1050" s="11"/>
      <c r="H1050" s="11">
        <f t="shared" ref="H1050:M1050" si="412">H1051</f>
        <v>0</v>
      </c>
      <c r="I1050" s="11">
        <f t="shared" si="412"/>
        <v>34700</v>
      </c>
      <c r="J1050" s="11">
        <f t="shared" si="412"/>
        <v>34700</v>
      </c>
      <c r="K1050" s="11">
        <f t="shared" si="412"/>
        <v>0</v>
      </c>
      <c r="L1050" s="11">
        <f t="shared" si="412"/>
        <v>34700</v>
      </c>
      <c r="M1050" s="11">
        <f t="shared" si="412"/>
        <v>0</v>
      </c>
      <c r="N1050" s="11">
        <v>34700</v>
      </c>
      <c r="O1050" s="52">
        <v>34700</v>
      </c>
      <c r="P1050" s="349">
        <v>28681.9</v>
      </c>
      <c r="Q1050" s="257">
        <v>82.66</v>
      </c>
    </row>
    <row r="1051" spans="1:17" s="30" customFormat="1" ht="47.25">
      <c r="A1051" s="8" t="s">
        <v>438</v>
      </c>
      <c r="B1051" s="10" t="s">
        <v>507</v>
      </c>
      <c r="C1051" s="10" t="s">
        <v>31</v>
      </c>
      <c r="D1051" s="10" t="s">
        <v>16</v>
      </c>
      <c r="E1051" s="10" t="s">
        <v>851</v>
      </c>
      <c r="F1051" s="10" t="s">
        <v>385</v>
      </c>
      <c r="G1051" s="11"/>
      <c r="H1051" s="11"/>
      <c r="I1051" s="7">
        <v>34700</v>
      </c>
      <c r="J1051" s="7">
        <f>H1051+I1051</f>
        <v>34700</v>
      </c>
      <c r="K1051" s="7"/>
      <c r="L1051" s="7">
        <f>J1051+K1051</f>
        <v>34700</v>
      </c>
      <c r="M1051" s="7"/>
      <c r="N1051" s="7">
        <v>34700</v>
      </c>
      <c r="O1051" s="7">
        <v>34700</v>
      </c>
      <c r="P1051" s="349">
        <v>28681.9</v>
      </c>
      <c r="Q1051" s="257">
        <v>82.66</v>
      </c>
    </row>
    <row r="1052" spans="1:17" s="30" customFormat="1">
      <c r="A1052" s="26" t="s">
        <v>138</v>
      </c>
      <c r="B1052" s="27" t="s">
        <v>507</v>
      </c>
      <c r="C1052" s="27" t="s">
        <v>31</v>
      </c>
      <c r="D1052" s="27" t="s">
        <v>26</v>
      </c>
      <c r="E1052" s="27"/>
      <c r="F1052" s="27"/>
      <c r="G1052" s="28">
        <v>92218.4</v>
      </c>
      <c r="H1052" s="28">
        <v>107120.4</v>
      </c>
      <c r="I1052" s="29" t="e">
        <f>I1059+I1062</f>
        <v>#REF!</v>
      </c>
      <c r="J1052" s="29" t="e">
        <f t="shared" ref="J1052:M1052" si="413">J1059+J1062+J1056+J1053</f>
        <v>#REF!</v>
      </c>
      <c r="K1052" s="29" t="e">
        <f t="shared" si="413"/>
        <v>#REF!</v>
      </c>
      <c r="L1052" s="29" t="e">
        <f t="shared" si="413"/>
        <v>#REF!</v>
      </c>
      <c r="M1052" s="29" t="e">
        <f t="shared" si="413"/>
        <v>#REF!</v>
      </c>
      <c r="N1052" s="29">
        <v>237633.5</v>
      </c>
      <c r="O1052" s="29">
        <v>237633.5</v>
      </c>
      <c r="P1052" s="348">
        <v>237453.5</v>
      </c>
      <c r="Q1052" s="256">
        <v>99.92</v>
      </c>
    </row>
    <row r="1053" spans="1:17" s="30" customFormat="1" ht="31.5">
      <c r="A1053" s="32" t="s">
        <v>984</v>
      </c>
      <c r="B1053" s="10" t="s">
        <v>507</v>
      </c>
      <c r="C1053" s="10" t="s">
        <v>31</v>
      </c>
      <c r="D1053" s="10" t="s">
        <v>26</v>
      </c>
      <c r="E1053" s="10" t="s">
        <v>985</v>
      </c>
      <c r="F1053" s="10"/>
      <c r="G1053" s="11"/>
      <c r="H1053" s="11"/>
      <c r="I1053" s="7"/>
      <c r="J1053" s="7">
        <f t="shared" ref="J1053:M1053" si="414">J1054+J1055</f>
        <v>0</v>
      </c>
      <c r="K1053" s="7">
        <f t="shared" si="414"/>
        <v>15205</v>
      </c>
      <c r="L1053" s="7">
        <f t="shared" si="414"/>
        <v>15205</v>
      </c>
      <c r="M1053" s="7">
        <f t="shared" si="414"/>
        <v>0</v>
      </c>
      <c r="N1053" s="7">
        <v>15205</v>
      </c>
      <c r="O1053" s="7">
        <v>15205</v>
      </c>
      <c r="P1053" s="349">
        <v>15205</v>
      </c>
      <c r="Q1053" s="257">
        <v>100</v>
      </c>
    </row>
    <row r="1054" spans="1:17" s="30" customFormat="1" ht="47.25">
      <c r="A1054" s="8" t="s">
        <v>438</v>
      </c>
      <c r="B1054" s="10" t="s">
        <v>507</v>
      </c>
      <c r="C1054" s="10" t="s">
        <v>31</v>
      </c>
      <c r="D1054" s="10" t="s">
        <v>26</v>
      </c>
      <c r="E1054" s="10" t="s">
        <v>985</v>
      </c>
      <c r="F1054" s="10" t="s">
        <v>385</v>
      </c>
      <c r="G1054" s="11"/>
      <c r="H1054" s="11"/>
      <c r="I1054" s="7"/>
      <c r="J1054" s="7"/>
      <c r="K1054" s="7">
        <v>9805</v>
      </c>
      <c r="L1054" s="7">
        <f>J1054+K1054</f>
        <v>9805</v>
      </c>
      <c r="M1054" s="7"/>
      <c r="N1054" s="7">
        <v>9805</v>
      </c>
      <c r="O1054" s="7">
        <v>9805</v>
      </c>
      <c r="P1054" s="349">
        <v>9805</v>
      </c>
      <c r="Q1054" s="257">
        <v>100</v>
      </c>
    </row>
    <row r="1055" spans="1:17" s="30" customFormat="1" ht="31.5">
      <c r="A1055" s="8" t="s">
        <v>465</v>
      </c>
      <c r="B1055" s="10" t="s">
        <v>507</v>
      </c>
      <c r="C1055" s="10" t="s">
        <v>31</v>
      </c>
      <c r="D1055" s="10" t="s">
        <v>26</v>
      </c>
      <c r="E1055" s="10" t="s">
        <v>985</v>
      </c>
      <c r="F1055" s="10" t="s">
        <v>475</v>
      </c>
      <c r="G1055" s="11"/>
      <c r="H1055" s="11"/>
      <c r="I1055" s="7"/>
      <c r="J1055" s="7"/>
      <c r="K1055" s="7">
        <v>5400</v>
      </c>
      <c r="L1055" s="7">
        <f>J1055+K1055</f>
        <v>5400</v>
      </c>
      <c r="M1055" s="7"/>
      <c r="N1055" s="7">
        <v>5400</v>
      </c>
      <c r="O1055" s="7">
        <v>5400</v>
      </c>
      <c r="P1055" s="349">
        <v>5400</v>
      </c>
      <c r="Q1055" s="257">
        <v>100</v>
      </c>
    </row>
    <row r="1056" spans="1:17" s="30" customFormat="1" ht="47.25">
      <c r="A1056" s="33" t="s">
        <v>980</v>
      </c>
      <c r="B1056" s="10" t="s">
        <v>507</v>
      </c>
      <c r="C1056" s="10" t="s">
        <v>31</v>
      </c>
      <c r="D1056" s="10" t="s">
        <v>26</v>
      </c>
      <c r="E1056" s="10" t="s">
        <v>981</v>
      </c>
      <c r="F1056" s="10"/>
      <c r="G1056" s="11"/>
      <c r="H1056" s="11"/>
      <c r="I1056" s="7"/>
      <c r="J1056" s="7">
        <f t="shared" ref="J1056:M1057" si="415">J1057</f>
        <v>0</v>
      </c>
      <c r="K1056" s="7">
        <f t="shared" si="415"/>
        <v>69128.5</v>
      </c>
      <c r="L1056" s="7">
        <f t="shared" si="415"/>
        <v>69128.5</v>
      </c>
      <c r="M1056" s="7">
        <f t="shared" si="415"/>
        <v>0</v>
      </c>
      <c r="N1056" s="7">
        <v>69128.5</v>
      </c>
      <c r="O1056" s="7">
        <v>69128.5</v>
      </c>
      <c r="P1056" s="349">
        <v>69128.5</v>
      </c>
      <c r="Q1056" s="257">
        <v>100</v>
      </c>
    </row>
    <row r="1057" spans="1:17" s="30" customFormat="1" ht="63">
      <c r="A1057" s="33" t="s">
        <v>983</v>
      </c>
      <c r="B1057" s="10" t="s">
        <v>507</v>
      </c>
      <c r="C1057" s="10" t="s">
        <v>31</v>
      </c>
      <c r="D1057" s="10" t="s">
        <v>26</v>
      </c>
      <c r="E1057" s="10" t="s">
        <v>982</v>
      </c>
      <c r="F1057" s="10"/>
      <c r="G1057" s="11"/>
      <c r="H1057" s="11"/>
      <c r="I1057" s="7"/>
      <c r="J1057" s="7">
        <f t="shared" si="415"/>
        <v>0</v>
      </c>
      <c r="K1057" s="7">
        <f t="shared" si="415"/>
        <v>69128.5</v>
      </c>
      <c r="L1057" s="7">
        <f t="shared" si="415"/>
        <v>69128.5</v>
      </c>
      <c r="M1057" s="7">
        <f t="shared" si="415"/>
        <v>0</v>
      </c>
      <c r="N1057" s="7">
        <v>69128.5</v>
      </c>
      <c r="O1057" s="7">
        <v>69128.5</v>
      </c>
      <c r="P1057" s="349">
        <v>69128.5</v>
      </c>
      <c r="Q1057" s="257">
        <v>100</v>
      </c>
    </row>
    <row r="1058" spans="1:17" s="30" customFormat="1" ht="31.5">
      <c r="A1058" s="8" t="s">
        <v>465</v>
      </c>
      <c r="B1058" s="10" t="s">
        <v>507</v>
      </c>
      <c r="C1058" s="10" t="s">
        <v>31</v>
      </c>
      <c r="D1058" s="10" t="s">
        <v>26</v>
      </c>
      <c r="E1058" s="10" t="s">
        <v>982</v>
      </c>
      <c r="F1058" s="10" t="s">
        <v>475</v>
      </c>
      <c r="G1058" s="11"/>
      <c r="H1058" s="11"/>
      <c r="I1058" s="7"/>
      <c r="J1058" s="7"/>
      <c r="K1058" s="7">
        <v>69128.5</v>
      </c>
      <c r="L1058" s="7">
        <f>J1058+K1058</f>
        <v>69128.5</v>
      </c>
      <c r="M1058" s="7"/>
      <c r="N1058" s="7">
        <v>69128.5</v>
      </c>
      <c r="O1058" s="7">
        <v>69128.5</v>
      </c>
      <c r="P1058" s="349">
        <v>69128.5</v>
      </c>
      <c r="Q1058" s="257">
        <v>100</v>
      </c>
    </row>
    <row r="1059" spans="1:17" s="30" customFormat="1">
      <c r="A1059" s="8" t="s">
        <v>47</v>
      </c>
      <c r="B1059" s="10" t="s">
        <v>507</v>
      </c>
      <c r="C1059" s="10" t="s">
        <v>31</v>
      </c>
      <c r="D1059" s="10" t="s">
        <v>26</v>
      </c>
      <c r="E1059" s="10" t="s">
        <v>48</v>
      </c>
      <c r="F1059" s="10"/>
      <c r="G1059" s="11">
        <v>2055</v>
      </c>
      <c r="H1059" s="11">
        <v>16957</v>
      </c>
      <c r="I1059" s="7">
        <f t="shared" ref="I1059:M1060" si="416">I1060</f>
        <v>0</v>
      </c>
      <c r="J1059" s="7">
        <f t="shared" si="416"/>
        <v>16957</v>
      </c>
      <c r="K1059" s="7">
        <f t="shared" si="416"/>
        <v>0</v>
      </c>
      <c r="L1059" s="7">
        <f t="shared" si="416"/>
        <v>16957</v>
      </c>
      <c r="M1059" s="7">
        <f t="shared" si="416"/>
        <v>0</v>
      </c>
      <c r="N1059" s="7">
        <v>16957</v>
      </c>
      <c r="O1059" s="7">
        <v>16957</v>
      </c>
      <c r="P1059" s="349">
        <v>16957</v>
      </c>
      <c r="Q1059" s="257">
        <v>100</v>
      </c>
    </row>
    <row r="1060" spans="1:17" s="21" customFormat="1" ht="63">
      <c r="A1060" s="8" t="s">
        <v>172</v>
      </c>
      <c r="B1060" s="10" t="s">
        <v>507</v>
      </c>
      <c r="C1060" s="10" t="s">
        <v>31</v>
      </c>
      <c r="D1060" s="10" t="s">
        <v>26</v>
      </c>
      <c r="E1060" s="10" t="s">
        <v>173</v>
      </c>
      <c r="F1060" s="10"/>
      <c r="G1060" s="11">
        <v>2055</v>
      </c>
      <c r="H1060" s="11">
        <v>16957</v>
      </c>
      <c r="I1060" s="7">
        <f t="shared" si="416"/>
        <v>0</v>
      </c>
      <c r="J1060" s="7">
        <f t="shared" si="416"/>
        <v>16957</v>
      </c>
      <c r="K1060" s="7">
        <f t="shared" si="416"/>
        <v>0</v>
      </c>
      <c r="L1060" s="7">
        <f t="shared" si="416"/>
        <v>16957</v>
      </c>
      <c r="M1060" s="7">
        <f t="shared" si="416"/>
        <v>0</v>
      </c>
      <c r="N1060" s="7">
        <v>16957</v>
      </c>
      <c r="O1060" s="7">
        <v>16957</v>
      </c>
      <c r="P1060" s="349">
        <v>16957</v>
      </c>
      <c r="Q1060" s="257">
        <v>100</v>
      </c>
    </row>
    <row r="1061" spans="1:17" s="21" customFormat="1">
      <c r="A1061" s="8" t="s">
        <v>435</v>
      </c>
      <c r="B1061" s="10" t="s">
        <v>507</v>
      </c>
      <c r="C1061" s="10" t="s">
        <v>31</v>
      </c>
      <c r="D1061" s="10" t="s">
        <v>26</v>
      </c>
      <c r="E1061" s="10" t="s">
        <v>173</v>
      </c>
      <c r="F1061" s="10" t="s">
        <v>432</v>
      </c>
      <c r="G1061" s="11">
        <v>2055</v>
      </c>
      <c r="H1061" s="31">
        <v>16957</v>
      </c>
      <c r="I1061" s="7"/>
      <c r="J1061" s="7">
        <f>H1061+I1061</f>
        <v>16957</v>
      </c>
      <c r="K1061" s="7"/>
      <c r="L1061" s="7">
        <f>J1061+K1061</f>
        <v>16957</v>
      </c>
      <c r="M1061" s="7"/>
      <c r="N1061" s="7">
        <v>16957</v>
      </c>
      <c r="O1061" s="7">
        <v>16957</v>
      </c>
      <c r="P1061" s="349">
        <v>16957</v>
      </c>
      <c r="Q1061" s="257">
        <v>100</v>
      </c>
    </row>
    <row r="1062" spans="1:17" s="12" customFormat="1">
      <c r="A1062" s="8" t="s">
        <v>17</v>
      </c>
      <c r="B1062" s="10" t="s">
        <v>507</v>
      </c>
      <c r="C1062" s="10" t="s">
        <v>31</v>
      </c>
      <c r="D1062" s="10" t="s">
        <v>26</v>
      </c>
      <c r="E1062" s="10" t="s">
        <v>18</v>
      </c>
      <c r="F1062" s="10"/>
      <c r="G1062" s="11">
        <v>90163.4</v>
      </c>
      <c r="H1062" s="11">
        <v>90163.4</v>
      </c>
      <c r="I1062" s="7" t="e">
        <f>I1063+I1072+I1077+I1065+I1069+I1067</f>
        <v>#REF!</v>
      </c>
      <c r="J1062" s="7" t="e">
        <f>J1063+J1072+J1077+J1065+J1069+J1067</f>
        <v>#REF!</v>
      </c>
      <c r="K1062" s="7" t="e">
        <f>K1063+K1072+K1077+K1065+K1069+K1067</f>
        <v>#REF!</v>
      </c>
      <c r="L1062" s="7" t="e">
        <f>L1063+L1072+L1077+L1065+L1069+L1067</f>
        <v>#REF!</v>
      </c>
      <c r="M1062" s="7" t="e">
        <f>M1063+M1072+M1077+M1065+M1069+M1067</f>
        <v>#REF!</v>
      </c>
      <c r="N1062" s="7">
        <v>136343</v>
      </c>
      <c r="O1062" s="7">
        <v>136343</v>
      </c>
      <c r="P1062" s="349">
        <v>136163</v>
      </c>
      <c r="Q1062" s="257">
        <v>99.87</v>
      </c>
    </row>
    <row r="1063" spans="1:17" s="12" customFormat="1" ht="63">
      <c r="A1063" s="8" t="s">
        <v>697</v>
      </c>
      <c r="B1063" s="10" t="s">
        <v>507</v>
      </c>
      <c r="C1063" s="10" t="s">
        <v>31</v>
      </c>
      <c r="D1063" s="10" t="s">
        <v>26</v>
      </c>
      <c r="E1063" s="10" t="s">
        <v>230</v>
      </c>
      <c r="F1063" s="10"/>
      <c r="G1063" s="11">
        <v>16930</v>
      </c>
      <c r="H1063" s="11">
        <v>16930</v>
      </c>
      <c r="I1063" s="7">
        <f t="shared" ref="I1063:M1063" si="417">I1064</f>
        <v>0</v>
      </c>
      <c r="J1063" s="7">
        <f t="shared" si="417"/>
        <v>16930</v>
      </c>
      <c r="K1063" s="7">
        <f t="shared" si="417"/>
        <v>4294.8</v>
      </c>
      <c r="L1063" s="7">
        <f t="shared" si="417"/>
        <v>21224.799999999999</v>
      </c>
      <c r="M1063" s="7">
        <f t="shared" si="417"/>
        <v>0</v>
      </c>
      <c r="N1063" s="7">
        <v>21224.799999999999</v>
      </c>
      <c r="O1063" s="7">
        <v>21224.799999999999</v>
      </c>
      <c r="P1063" s="349">
        <v>21224.799999999999</v>
      </c>
      <c r="Q1063" s="257">
        <v>100</v>
      </c>
    </row>
    <row r="1064" spans="1:17" s="12" customFormat="1" ht="31.5">
      <c r="A1064" s="8" t="s">
        <v>465</v>
      </c>
      <c r="B1064" s="10" t="s">
        <v>507</v>
      </c>
      <c r="C1064" s="10" t="s">
        <v>31</v>
      </c>
      <c r="D1064" s="10" t="s">
        <v>26</v>
      </c>
      <c r="E1064" s="10" t="s">
        <v>230</v>
      </c>
      <c r="F1064" s="10" t="s">
        <v>475</v>
      </c>
      <c r="G1064" s="11">
        <v>16930</v>
      </c>
      <c r="H1064" s="11">
        <v>16930</v>
      </c>
      <c r="I1064" s="7"/>
      <c r="J1064" s="7">
        <f>H1064+I1064</f>
        <v>16930</v>
      </c>
      <c r="K1064" s="7">
        <v>4294.8</v>
      </c>
      <c r="L1064" s="7">
        <f>J1064+K1064</f>
        <v>21224.799999999999</v>
      </c>
      <c r="M1064" s="7"/>
      <c r="N1064" s="7">
        <v>21224.799999999999</v>
      </c>
      <c r="O1064" s="7">
        <v>21224.799999999999</v>
      </c>
      <c r="P1064" s="349">
        <v>21224.799999999999</v>
      </c>
      <c r="Q1064" s="257">
        <v>100</v>
      </c>
    </row>
    <row r="1065" spans="1:17" s="12" customFormat="1" ht="31.5">
      <c r="A1065" s="8" t="s">
        <v>705</v>
      </c>
      <c r="B1065" s="10" t="s">
        <v>507</v>
      </c>
      <c r="C1065" s="10" t="s">
        <v>31</v>
      </c>
      <c r="D1065" s="10" t="s">
        <v>26</v>
      </c>
      <c r="E1065" s="10" t="s">
        <v>703</v>
      </c>
      <c r="F1065" s="10"/>
      <c r="G1065" s="11">
        <v>3000</v>
      </c>
      <c r="H1065" s="11">
        <v>3000</v>
      </c>
      <c r="I1065" s="7">
        <f t="shared" ref="I1065:M1065" si="418">I1066</f>
        <v>930</v>
      </c>
      <c r="J1065" s="7">
        <f t="shared" si="418"/>
        <v>3930</v>
      </c>
      <c r="K1065" s="7">
        <f t="shared" si="418"/>
        <v>-170</v>
      </c>
      <c r="L1065" s="7">
        <f t="shared" si="418"/>
        <v>3760</v>
      </c>
      <c r="M1065" s="7">
        <f t="shared" si="418"/>
        <v>1040</v>
      </c>
      <c r="N1065" s="7">
        <v>4800</v>
      </c>
      <c r="O1065" s="7">
        <v>4800</v>
      </c>
      <c r="P1065" s="349">
        <v>4800</v>
      </c>
      <c r="Q1065" s="257">
        <v>100</v>
      </c>
    </row>
    <row r="1066" spans="1:17" s="12" customFormat="1" ht="31.5">
      <c r="A1066" s="8" t="s">
        <v>465</v>
      </c>
      <c r="B1066" s="10" t="s">
        <v>507</v>
      </c>
      <c r="C1066" s="10" t="s">
        <v>31</v>
      </c>
      <c r="D1066" s="10" t="s">
        <v>26</v>
      </c>
      <c r="E1066" s="10" t="s">
        <v>703</v>
      </c>
      <c r="F1066" s="10" t="s">
        <v>475</v>
      </c>
      <c r="G1066" s="11">
        <v>3000</v>
      </c>
      <c r="H1066" s="11">
        <v>3000</v>
      </c>
      <c r="I1066" s="7">
        <f>560+370</f>
        <v>930</v>
      </c>
      <c r="J1066" s="7">
        <f>H1066+I1066</f>
        <v>3930</v>
      </c>
      <c r="K1066" s="7">
        <f>-1370+200+1000</f>
        <v>-170</v>
      </c>
      <c r="L1066" s="7">
        <f>J1066+K1066</f>
        <v>3760</v>
      </c>
      <c r="M1066" s="7">
        <f>490+350+200</f>
        <v>1040</v>
      </c>
      <c r="N1066" s="7">
        <v>4800</v>
      </c>
      <c r="O1066" s="7">
        <v>4800</v>
      </c>
      <c r="P1066" s="349">
        <v>4800</v>
      </c>
      <c r="Q1066" s="257">
        <v>100</v>
      </c>
    </row>
    <row r="1067" spans="1:17" s="12" customFormat="1" ht="31.5">
      <c r="A1067" s="9" t="s">
        <v>836</v>
      </c>
      <c r="B1067" s="10" t="s">
        <v>507</v>
      </c>
      <c r="C1067" s="10" t="s">
        <v>31</v>
      </c>
      <c r="D1067" s="10" t="s">
        <v>26</v>
      </c>
      <c r="E1067" s="10" t="s">
        <v>835</v>
      </c>
      <c r="F1067" s="10"/>
      <c r="G1067" s="11"/>
      <c r="H1067" s="11">
        <f t="shared" ref="H1067:M1067" si="419">H1068</f>
        <v>0</v>
      </c>
      <c r="I1067" s="52">
        <f t="shared" si="419"/>
        <v>4400</v>
      </c>
      <c r="J1067" s="52">
        <f t="shared" si="419"/>
        <v>4400</v>
      </c>
      <c r="K1067" s="52">
        <f t="shared" si="419"/>
        <v>0</v>
      </c>
      <c r="L1067" s="52">
        <f t="shared" si="419"/>
        <v>4400</v>
      </c>
      <c r="M1067" s="52">
        <f t="shared" si="419"/>
        <v>560</v>
      </c>
      <c r="N1067" s="52">
        <v>4960</v>
      </c>
      <c r="O1067" s="52">
        <v>4960</v>
      </c>
      <c r="P1067" s="349">
        <v>4960</v>
      </c>
      <c r="Q1067" s="257">
        <v>100</v>
      </c>
    </row>
    <row r="1068" spans="1:17" s="12" customFormat="1" ht="31.5">
      <c r="A1068" s="8" t="s">
        <v>465</v>
      </c>
      <c r="B1068" s="10" t="s">
        <v>507</v>
      </c>
      <c r="C1068" s="10" t="s">
        <v>31</v>
      </c>
      <c r="D1068" s="10" t="s">
        <v>26</v>
      </c>
      <c r="E1068" s="10" t="s">
        <v>835</v>
      </c>
      <c r="F1068" s="10" t="s">
        <v>475</v>
      </c>
      <c r="G1068" s="11"/>
      <c r="H1068" s="11"/>
      <c r="I1068" s="7">
        <v>4400</v>
      </c>
      <c r="J1068" s="7">
        <f>H1068+I1068</f>
        <v>4400</v>
      </c>
      <c r="K1068" s="7"/>
      <c r="L1068" s="7">
        <f>J1068+K1068</f>
        <v>4400</v>
      </c>
      <c r="M1068" s="7">
        <f>910-350</f>
        <v>560</v>
      </c>
      <c r="N1068" s="7">
        <v>4960</v>
      </c>
      <c r="O1068" s="7">
        <v>4960</v>
      </c>
      <c r="P1068" s="349">
        <v>4960</v>
      </c>
      <c r="Q1068" s="257">
        <v>100</v>
      </c>
    </row>
    <row r="1069" spans="1:17" s="12" customFormat="1" ht="47.25">
      <c r="A1069" s="8" t="s">
        <v>698</v>
      </c>
      <c r="B1069" s="10" t="s">
        <v>507</v>
      </c>
      <c r="C1069" s="10" t="s">
        <v>31</v>
      </c>
      <c r="D1069" s="10" t="s">
        <v>26</v>
      </c>
      <c r="E1069" s="10" t="s">
        <v>228</v>
      </c>
      <c r="F1069" s="10"/>
      <c r="G1069" s="11"/>
      <c r="H1069" s="11">
        <f t="shared" ref="H1069:M1069" si="420">H1070+H1071</f>
        <v>0</v>
      </c>
      <c r="I1069" s="11">
        <f t="shared" si="420"/>
        <v>3699.3</v>
      </c>
      <c r="J1069" s="11">
        <f t="shared" si="420"/>
        <v>3699.3</v>
      </c>
      <c r="K1069" s="11">
        <f t="shared" si="420"/>
        <v>0</v>
      </c>
      <c r="L1069" s="11">
        <f t="shared" si="420"/>
        <v>3699.3</v>
      </c>
      <c r="M1069" s="11">
        <f t="shared" si="420"/>
        <v>0</v>
      </c>
      <c r="N1069" s="11">
        <v>3699.3</v>
      </c>
      <c r="O1069" s="52">
        <v>3699.3</v>
      </c>
      <c r="P1069" s="349">
        <v>3699.3</v>
      </c>
      <c r="Q1069" s="257">
        <v>100</v>
      </c>
    </row>
    <row r="1070" spans="1:17" s="12" customFormat="1" ht="47.25">
      <c r="A1070" s="8" t="s">
        <v>438</v>
      </c>
      <c r="B1070" s="10" t="s">
        <v>507</v>
      </c>
      <c r="C1070" s="10" t="s">
        <v>31</v>
      </c>
      <c r="D1070" s="10" t="s">
        <v>26</v>
      </c>
      <c r="E1070" s="10" t="s">
        <v>228</v>
      </c>
      <c r="F1070" s="10" t="s">
        <v>385</v>
      </c>
      <c r="G1070" s="11"/>
      <c r="H1070" s="11"/>
      <c r="I1070" s="7">
        <v>1668.6</v>
      </c>
      <c r="J1070" s="7">
        <f>H1070+I1070</f>
        <v>1668.6</v>
      </c>
      <c r="K1070" s="7"/>
      <c r="L1070" s="7">
        <f>J1070+K1070</f>
        <v>1668.6</v>
      </c>
      <c r="M1070" s="7"/>
      <c r="N1070" s="7">
        <v>1668.6</v>
      </c>
      <c r="O1070" s="7">
        <v>1668.6</v>
      </c>
      <c r="P1070" s="349">
        <v>1668.6</v>
      </c>
      <c r="Q1070" s="257">
        <v>100</v>
      </c>
    </row>
    <row r="1071" spans="1:17" s="12" customFormat="1" ht="31.5">
      <c r="A1071" s="8" t="s">
        <v>465</v>
      </c>
      <c r="B1071" s="10" t="s">
        <v>507</v>
      </c>
      <c r="C1071" s="10" t="s">
        <v>31</v>
      </c>
      <c r="D1071" s="10" t="s">
        <v>26</v>
      </c>
      <c r="E1071" s="10" t="s">
        <v>228</v>
      </c>
      <c r="F1071" s="10" t="s">
        <v>475</v>
      </c>
      <c r="G1071" s="11"/>
      <c r="H1071" s="11"/>
      <c r="I1071" s="7">
        <v>2030.7</v>
      </c>
      <c r="J1071" s="7">
        <f>H1071+I1071</f>
        <v>2030.7</v>
      </c>
      <c r="K1071" s="7"/>
      <c r="L1071" s="7">
        <f>J1071+K1071</f>
        <v>2030.7</v>
      </c>
      <c r="M1071" s="7"/>
      <c r="N1071" s="7">
        <v>2030.7</v>
      </c>
      <c r="O1071" s="7">
        <v>2030.7</v>
      </c>
      <c r="P1071" s="349">
        <v>2030.7</v>
      </c>
      <c r="Q1071" s="257">
        <v>100</v>
      </c>
    </row>
    <row r="1072" spans="1:17" s="21" customFormat="1" ht="47.25">
      <c r="A1072" s="8" t="s">
        <v>221</v>
      </c>
      <c r="B1072" s="10" t="s">
        <v>507</v>
      </c>
      <c r="C1072" s="10" t="s">
        <v>31</v>
      </c>
      <c r="D1072" s="10" t="s">
        <v>26</v>
      </c>
      <c r="E1072" s="10" t="s">
        <v>222</v>
      </c>
      <c r="F1072" s="10"/>
      <c r="G1072" s="11">
        <v>46469.4</v>
      </c>
      <c r="H1072" s="11">
        <v>46469.4</v>
      </c>
      <c r="I1072" s="7" t="e">
        <f t="shared" ref="I1072:M1072" si="421">I1073+I1075</f>
        <v>#REF!</v>
      </c>
      <c r="J1072" s="7" t="e">
        <f t="shared" si="421"/>
        <v>#REF!</v>
      </c>
      <c r="K1072" s="7" t="e">
        <f t="shared" si="421"/>
        <v>#REF!</v>
      </c>
      <c r="L1072" s="7" t="e">
        <f t="shared" si="421"/>
        <v>#REF!</v>
      </c>
      <c r="M1072" s="7" t="e">
        <f t="shared" si="421"/>
        <v>#REF!</v>
      </c>
      <c r="N1072" s="7">
        <v>76524.899999999994</v>
      </c>
      <c r="O1072" s="7">
        <v>76524.899999999994</v>
      </c>
      <c r="P1072" s="349">
        <v>76344.899999999994</v>
      </c>
      <c r="Q1072" s="257">
        <v>99.76</v>
      </c>
    </row>
    <row r="1073" spans="1:17" s="21" customFormat="1" ht="31.5">
      <c r="A1073" s="8" t="s">
        <v>223</v>
      </c>
      <c r="B1073" s="10" t="s">
        <v>507</v>
      </c>
      <c r="C1073" s="10" t="s">
        <v>31</v>
      </c>
      <c r="D1073" s="10" t="s">
        <v>26</v>
      </c>
      <c r="E1073" s="10" t="s">
        <v>224</v>
      </c>
      <c r="F1073" s="10"/>
      <c r="G1073" s="11">
        <v>41069.4</v>
      </c>
      <c r="H1073" s="11">
        <v>41069.4</v>
      </c>
      <c r="I1073" s="7">
        <f t="shared" ref="I1073:M1073" si="422">I1074</f>
        <v>0</v>
      </c>
      <c r="J1073" s="7">
        <f t="shared" si="422"/>
        <v>41069.4</v>
      </c>
      <c r="K1073" s="7">
        <f t="shared" si="422"/>
        <v>7120</v>
      </c>
      <c r="L1073" s="7">
        <f t="shared" si="422"/>
        <v>48189.4</v>
      </c>
      <c r="M1073" s="7">
        <f t="shared" si="422"/>
        <v>25035.5</v>
      </c>
      <c r="N1073" s="7">
        <v>73224.899999999994</v>
      </c>
      <c r="O1073" s="7">
        <v>73224.899999999994</v>
      </c>
      <c r="P1073" s="349">
        <v>73044.899999999994</v>
      </c>
      <c r="Q1073" s="257">
        <v>99.75</v>
      </c>
    </row>
    <row r="1074" spans="1:17" s="21" customFormat="1" ht="47.25">
      <c r="A1074" s="8" t="s">
        <v>438</v>
      </c>
      <c r="B1074" s="10" t="s">
        <v>507</v>
      </c>
      <c r="C1074" s="10" t="s">
        <v>31</v>
      </c>
      <c r="D1074" s="10" t="s">
        <v>26</v>
      </c>
      <c r="E1074" s="10" t="s">
        <v>224</v>
      </c>
      <c r="F1074" s="10" t="s">
        <v>385</v>
      </c>
      <c r="G1074" s="11">
        <v>41069.4</v>
      </c>
      <c r="H1074" s="31">
        <v>41069.4</v>
      </c>
      <c r="I1074" s="7"/>
      <c r="J1074" s="7">
        <f>H1074+I1074</f>
        <v>41069.4</v>
      </c>
      <c r="K1074" s="7">
        <f>2820+2200+2100</f>
        <v>7120</v>
      </c>
      <c r="L1074" s="7">
        <f>J1074+K1074</f>
        <v>48189.4</v>
      </c>
      <c r="M1074" s="7">
        <v>25035.5</v>
      </c>
      <c r="N1074" s="7">
        <v>73224.899999999994</v>
      </c>
      <c r="O1074" s="7">
        <v>73224.899999999994</v>
      </c>
      <c r="P1074" s="349">
        <v>73044.899999999994</v>
      </c>
      <c r="Q1074" s="257">
        <v>99.75</v>
      </c>
    </row>
    <row r="1075" spans="1:17" s="21" customFormat="1" ht="47.25">
      <c r="A1075" s="8" t="s">
        <v>751</v>
      </c>
      <c r="B1075" s="10" t="s">
        <v>507</v>
      </c>
      <c r="C1075" s="10" t="s">
        <v>31</v>
      </c>
      <c r="D1075" s="10" t="s">
        <v>26</v>
      </c>
      <c r="E1075" s="10" t="s">
        <v>713</v>
      </c>
      <c r="F1075" s="10"/>
      <c r="G1075" s="11">
        <v>5400</v>
      </c>
      <c r="H1075" s="31">
        <v>5400</v>
      </c>
      <c r="I1075" s="7" t="e">
        <f>#REF!</f>
        <v>#REF!</v>
      </c>
      <c r="J1075" s="7" t="e">
        <f>#REF!+J1076</f>
        <v>#REF!</v>
      </c>
      <c r="K1075" s="7" t="e">
        <f>#REF!+K1076</f>
        <v>#REF!</v>
      </c>
      <c r="L1075" s="7" t="e">
        <f>#REF!+L1076</f>
        <v>#REF!</v>
      </c>
      <c r="M1075" s="7" t="e">
        <f>#REF!+M1076</f>
        <v>#REF!</v>
      </c>
      <c r="N1075" s="7">
        <v>3300</v>
      </c>
      <c r="O1075" s="7">
        <v>3300</v>
      </c>
      <c r="P1075" s="349">
        <v>3300</v>
      </c>
      <c r="Q1075" s="257">
        <v>100</v>
      </c>
    </row>
    <row r="1076" spans="1:17" s="21" customFormat="1" ht="31.5">
      <c r="A1076" s="8" t="s">
        <v>465</v>
      </c>
      <c r="B1076" s="10" t="s">
        <v>507</v>
      </c>
      <c r="C1076" s="10" t="s">
        <v>31</v>
      </c>
      <c r="D1076" s="10" t="s">
        <v>26</v>
      </c>
      <c r="E1076" s="10" t="s">
        <v>713</v>
      </c>
      <c r="F1076" s="10" t="s">
        <v>475</v>
      </c>
      <c r="G1076" s="11"/>
      <c r="H1076" s="31"/>
      <c r="I1076" s="7"/>
      <c r="J1076" s="7"/>
      <c r="K1076" s="7">
        <v>3300</v>
      </c>
      <c r="L1076" s="7">
        <f>J1076+K1076</f>
        <v>3300</v>
      </c>
      <c r="M1076" s="7"/>
      <c r="N1076" s="7">
        <v>3300</v>
      </c>
      <c r="O1076" s="7">
        <v>3300</v>
      </c>
      <c r="P1076" s="349">
        <v>3300</v>
      </c>
      <c r="Q1076" s="257">
        <v>100</v>
      </c>
    </row>
    <row r="1077" spans="1:17" s="21" customFormat="1">
      <c r="A1077" s="8" t="s">
        <v>83</v>
      </c>
      <c r="B1077" s="10" t="s">
        <v>507</v>
      </c>
      <c r="C1077" s="10" t="s">
        <v>31</v>
      </c>
      <c r="D1077" s="10" t="s">
        <v>26</v>
      </c>
      <c r="E1077" s="10" t="s">
        <v>84</v>
      </c>
      <c r="F1077" s="10"/>
      <c r="G1077" s="11">
        <v>23764</v>
      </c>
      <c r="H1077" s="31">
        <v>23764</v>
      </c>
      <c r="I1077" s="7" t="e">
        <f t="shared" ref="I1077:M1077" si="423">I1078</f>
        <v>#REF!</v>
      </c>
      <c r="J1077" s="7" t="e">
        <f t="shared" si="423"/>
        <v>#REF!</v>
      </c>
      <c r="K1077" s="7" t="e">
        <f t="shared" si="423"/>
        <v>#REF!</v>
      </c>
      <c r="L1077" s="7" t="e">
        <f t="shared" si="423"/>
        <v>#REF!</v>
      </c>
      <c r="M1077" s="7" t="e">
        <f t="shared" si="423"/>
        <v>#REF!</v>
      </c>
      <c r="N1077" s="7">
        <v>25134</v>
      </c>
      <c r="O1077" s="7">
        <v>25134</v>
      </c>
      <c r="P1077" s="349">
        <v>25134</v>
      </c>
      <c r="Q1077" s="257">
        <v>100</v>
      </c>
    </row>
    <row r="1078" spans="1:17" s="21" customFormat="1" ht="47.25">
      <c r="A1078" s="8" t="s">
        <v>537</v>
      </c>
      <c r="B1078" s="10" t="s">
        <v>507</v>
      </c>
      <c r="C1078" s="10" t="s">
        <v>31</v>
      </c>
      <c r="D1078" s="10" t="s">
        <v>26</v>
      </c>
      <c r="E1078" s="10" t="s">
        <v>220</v>
      </c>
      <c r="F1078" s="10"/>
      <c r="G1078" s="11">
        <v>23764</v>
      </c>
      <c r="H1078" s="31">
        <v>23764</v>
      </c>
      <c r="I1078" s="7" t="e">
        <f>#REF!</f>
        <v>#REF!</v>
      </c>
      <c r="J1078" s="7" t="e">
        <f>#REF!+J1079</f>
        <v>#REF!</v>
      </c>
      <c r="K1078" s="7" t="e">
        <f>#REF!+K1079</f>
        <v>#REF!</v>
      </c>
      <c r="L1078" s="7" t="e">
        <f>#REF!+L1079</f>
        <v>#REF!</v>
      </c>
      <c r="M1078" s="7" t="e">
        <f>#REF!+M1079</f>
        <v>#REF!</v>
      </c>
      <c r="N1078" s="7">
        <v>25134</v>
      </c>
      <c r="O1078" s="7">
        <v>25134</v>
      </c>
      <c r="P1078" s="349">
        <v>25134</v>
      </c>
      <c r="Q1078" s="257">
        <v>100</v>
      </c>
    </row>
    <row r="1079" spans="1:17" s="21" customFormat="1" ht="31.5">
      <c r="A1079" s="8" t="s">
        <v>465</v>
      </c>
      <c r="B1079" s="10" t="s">
        <v>507</v>
      </c>
      <c r="C1079" s="10" t="s">
        <v>31</v>
      </c>
      <c r="D1079" s="10" t="s">
        <v>26</v>
      </c>
      <c r="E1079" s="10" t="s">
        <v>220</v>
      </c>
      <c r="F1079" s="10" t="s">
        <v>475</v>
      </c>
      <c r="G1079" s="11"/>
      <c r="H1079" s="31"/>
      <c r="I1079" s="7"/>
      <c r="J1079" s="7"/>
      <c r="K1079" s="7">
        <v>25134</v>
      </c>
      <c r="L1079" s="7">
        <f>J1079+K1079</f>
        <v>25134</v>
      </c>
      <c r="M1079" s="7"/>
      <c r="N1079" s="7">
        <v>25134</v>
      </c>
      <c r="O1079" s="7">
        <v>25134</v>
      </c>
      <c r="P1079" s="349">
        <v>25134</v>
      </c>
      <c r="Q1079" s="257">
        <v>100</v>
      </c>
    </row>
    <row r="1080" spans="1:17" ht="31.5">
      <c r="A1080" s="26" t="s">
        <v>714</v>
      </c>
      <c r="B1080" s="27" t="s">
        <v>507</v>
      </c>
      <c r="C1080" s="27" t="s">
        <v>31</v>
      </c>
      <c r="D1080" s="27" t="s">
        <v>28</v>
      </c>
      <c r="E1080" s="27"/>
      <c r="F1080" s="27"/>
      <c r="G1080" s="28">
        <v>500</v>
      </c>
      <c r="H1080" s="28">
        <v>500</v>
      </c>
      <c r="I1080" s="29">
        <f t="shared" ref="I1080:M1083" si="424">I1081</f>
        <v>0</v>
      </c>
      <c r="J1080" s="29">
        <f t="shared" si="424"/>
        <v>500</v>
      </c>
      <c r="K1080" s="29">
        <f t="shared" si="424"/>
        <v>-150</v>
      </c>
      <c r="L1080" s="29">
        <f t="shared" si="424"/>
        <v>350</v>
      </c>
      <c r="M1080" s="29">
        <f t="shared" si="424"/>
        <v>0</v>
      </c>
      <c r="N1080" s="29">
        <v>350</v>
      </c>
      <c r="O1080" s="29">
        <v>350</v>
      </c>
      <c r="P1080" s="348">
        <v>350</v>
      </c>
      <c r="Q1080" s="256">
        <v>100</v>
      </c>
    </row>
    <row r="1081" spans="1:17" s="21" customFormat="1">
      <c r="A1081" s="8" t="s">
        <v>17</v>
      </c>
      <c r="B1081" s="10" t="s">
        <v>507</v>
      </c>
      <c r="C1081" s="10" t="s">
        <v>31</v>
      </c>
      <c r="D1081" s="10" t="s">
        <v>28</v>
      </c>
      <c r="E1081" s="10" t="s">
        <v>18</v>
      </c>
      <c r="F1081" s="10"/>
      <c r="G1081" s="11">
        <v>500</v>
      </c>
      <c r="H1081" s="31">
        <v>500</v>
      </c>
      <c r="I1081" s="7">
        <f t="shared" si="424"/>
        <v>0</v>
      </c>
      <c r="J1081" s="7">
        <f t="shared" si="424"/>
        <v>500</v>
      </c>
      <c r="K1081" s="7">
        <f t="shared" si="424"/>
        <v>-150</v>
      </c>
      <c r="L1081" s="7">
        <f t="shared" si="424"/>
        <v>350</v>
      </c>
      <c r="M1081" s="7">
        <f t="shared" si="424"/>
        <v>0</v>
      </c>
      <c r="N1081" s="7">
        <v>350</v>
      </c>
      <c r="O1081" s="7">
        <v>350</v>
      </c>
      <c r="P1081" s="349">
        <v>350</v>
      </c>
      <c r="Q1081" s="257">
        <v>100</v>
      </c>
    </row>
    <row r="1082" spans="1:17" s="21" customFormat="1">
      <c r="A1082" s="8" t="s">
        <v>83</v>
      </c>
      <c r="B1082" s="10" t="s">
        <v>507</v>
      </c>
      <c r="C1082" s="10" t="s">
        <v>31</v>
      </c>
      <c r="D1082" s="10" t="s">
        <v>28</v>
      </c>
      <c r="E1082" s="10" t="s">
        <v>84</v>
      </c>
      <c r="F1082" s="10"/>
      <c r="G1082" s="11">
        <v>500</v>
      </c>
      <c r="H1082" s="31">
        <v>500</v>
      </c>
      <c r="I1082" s="7">
        <f t="shared" si="424"/>
        <v>0</v>
      </c>
      <c r="J1082" s="7">
        <f t="shared" si="424"/>
        <v>500</v>
      </c>
      <c r="K1082" s="7">
        <f t="shared" si="424"/>
        <v>-150</v>
      </c>
      <c r="L1082" s="7">
        <f t="shared" si="424"/>
        <v>350</v>
      </c>
      <c r="M1082" s="7">
        <f t="shared" si="424"/>
        <v>0</v>
      </c>
      <c r="N1082" s="7">
        <v>350</v>
      </c>
      <c r="O1082" s="7">
        <v>350</v>
      </c>
      <c r="P1082" s="349">
        <v>350</v>
      </c>
      <c r="Q1082" s="257">
        <v>100</v>
      </c>
    </row>
    <row r="1083" spans="1:17" s="21" customFormat="1" ht="47.25">
      <c r="A1083" s="8" t="s">
        <v>716</v>
      </c>
      <c r="B1083" s="10" t="s">
        <v>507</v>
      </c>
      <c r="C1083" s="10" t="s">
        <v>31</v>
      </c>
      <c r="D1083" s="10" t="s">
        <v>28</v>
      </c>
      <c r="E1083" s="10" t="s">
        <v>715</v>
      </c>
      <c r="F1083" s="10"/>
      <c r="G1083" s="11">
        <v>500</v>
      </c>
      <c r="H1083" s="31">
        <v>500</v>
      </c>
      <c r="I1083" s="7">
        <f t="shared" si="424"/>
        <v>0</v>
      </c>
      <c r="J1083" s="7">
        <f t="shared" si="424"/>
        <v>500</v>
      </c>
      <c r="K1083" s="7">
        <f t="shared" si="424"/>
        <v>-150</v>
      </c>
      <c r="L1083" s="7">
        <f t="shared" si="424"/>
        <v>350</v>
      </c>
      <c r="M1083" s="7">
        <f t="shared" si="424"/>
        <v>0</v>
      </c>
      <c r="N1083" s="7">
        <v>350</v>
      </c>
      <c r="O1083" s="7">
        <v>350</v>
      </c>
      <c r="P1083" s="349">
        <v>350</v>
      </c>
      <c r="Q1083" s="257">
        <v>100</v>
      </c>
    </row>
    <row r="1084" spans="1:17" s="21" customFormat="1" ht="47.25">
      <c r="A1084" s="8" t="s">
        <v>438</v>
      </c>
      <c r="B1084" s="10" t="s">
        <v>507</v>
      </c>
      <c r="C1084" s="10" t="s">
        <v>31</v>
      </c>
      <c r="D1084" s="10" t="s">
        <v>28</v>
      </c>
      <c r="E1084" s="10" t="s">
        <v>715</v>
      </c>
      <c r="F1084" s="10" t="s">
        <v>385</v>
      </c>
      <c r="G1084" s="11">
        <v>500</v>
      </c>
      <c r="H1084" s="31">
        <v>500</v>
      </c>
      <c r="I1084" s="7"/>
      <c r="J1084" s="7">
        <f>H1084+I1084</f>
        <v>500</v>
      </c>
      <c r="K1084" s="7">
        <v>-150</v>
      </c>
      <c r="L1084" s="7">
        <f>J1084+K1084</f>
        <v>350</v>
      </c>
      <c r="M1084" s="7"/>
      <c r="N1084" s="7">
        <v>350</v>
      </c>
      <c r="O1084" s="7">
        <v>350</v>
      </c>
      <c r="P1084" s="349">
        <v>350</v>
      </c>
      <c r="Q1084" s="257">
        <v>100</v>
      </c>
    </row>
    <row r="1085" spans="1:17" ht="31.5">
      <c r="A1085" s="26" t="s">
        <v>695</v>
      </c>
      <c r="B1085" s="27" t="s">
        <v>507</v>
      </c>
      <c r="C1085" s="27" t="s">
        <v>9</v>
      </c>
      <c r="D1085" s="27"/>
      <c r="E1085" s="27"/>
      <c r="F1085" s="27"/>
      <c r="G1085" s="28">
        <v>61550</v>
      </c>
      <c r="H1085" s="28">
        <v>61550</v>
      </c>
      <c r="I1085" s="29">
        <f t="shared" ref="I1085:M1085" si="425">I1086+I1097</f>
        <v>63067.6</v>
      </c>
      <c r="J1085" s="29">
        <f t="shared" si="425"/>
        <v>124617.60000000001</v>
      </c>
      <c r="K1085" s="29">
        <f t="shared" si="425"/>
        <v>175972.4</v>
      </c>
      <c r="L1085" s="29">
        <f t="shared" si="425"/>
        <v>300590</v>
      </c>
      <c r="M1085" s="29">
        <f t="shared" si="425"/>
        <v>358.3</v>
      </c>
      <c r="N1085" s="29">
        <v>300948.3</v>
      </c>
      <c r="O1085" s="29">
        <v>297719</v>
      </c>
      <c r="P1085" s="348">
        <v>297719</v>
      </c>
      <c r="Q1085" s="256">
        <v>100</v>
      </c>
    </row>
    <row r="1086" spans="1:17" ht="31.5">
      <c r="A1086" s="26" t="s">
        <v>701</v>
      </c>
      <c r="B1086" s="27" t="s">
        <v>507</v>
      </c>
      <c r="C1086" s="27" t="s">
        <v>9</v>
      </c>
      <c r="D1086" s="27" t="s">
        <v>16</v>
      </c>
      <c r="E1086" s="27"/>
      <c r="F1086" s="27"/>
      <c r="G1086" s="28">
        <v>16000</v>
      </c>
      <c r="H1086" s="28">
        <v>16000</v>
      </c>
      <c r="I1086" s="29">
        <f>I1091</f>
        <v>14140</v>
      </c>
      <c r="J1086" s="29">
        <f t="shared" ref="J1086:M1086" si="426">J1091+J1089+J1087</f>
        <v>30140</v>
      </c>
      <c r="K1086" s="29">
        <f t="shared" si="426"/>
        <v>64630</v>
      </c>
      <c r="L1086" s="29">
        <f t="shared" si="426"/>
        <v>94770</v>
      </c>
      <c r="M1086" s="29">
        <f t="shared" si="426"/>
        <v>0</v>
      </c>
      <c r="N1086" s="29">
        <v>94770</v>
      </c>
      <c r="O1086" s="29">
        <v>91540.7</v>
      </c>
      <c r="P1086" s="348">
        <v>91540.7</v>
      </c>
      <c r="Q1086" s="256">
        <v>100</v>
      </c>
    </row>
    <row r="1087" spans="1:17" ht="31.5">
      <c r="A1087" s="32" t="s">
        <v>984</v>
      </c>
      <c r="B1087" s="10" t="s">
        <v>507</v>
      </c>
      <c r="C1087" s="10" t="s">
        <v>9</v>
      </c>
      <c r="D1087" s="10" t="s">
        <v>16</v>
      </c>
      <c r="E1087" s="10" t="s">
        <v>985</v>
      </c>
      <c r="F1087" s="10"/>
      <c r="G1087" s="28"/>
      <c r="H1087" s="28"/>
      <c r="I1087" s="29"/>
      <c r="J1087" s="7">
        <f t="shared" ref="J1087:M1087" si="427">J1088</f>
        <v>0</v>
      </c>
      <c r="K1087" s="7">
        <f t="shared" si="427"/>
        <v>15978</v>
      </c>
      <c r="L1087" s="7">
        <f t="shared" si="427"/>
        <v>15978</v>
      </c>
      <c r="M1087" s="7">
        <f t="shared" si="427"/>
        <v>0</v>
      </c>
      <c r="N1087" s="7">
        <v>15978</v>
      </c>
      <c r="O1087" s="7">
        <v>15978</v>
      </c>
      <c r="P1087" s="349">
        <v>15978</v>
      </c>
      <c r="Q1087" s="257">
        <v>100</v>
      </c>
    </row>
    <row r="1088" spans="1:17" ht="47.25">
      <c r="A1088" s="8" t="s">
        <v>438</v>
      </c>
      <c r="B1088" s="10" t="s">
        <v>507</v>
      </c>
      <c r="C1088" s="10" t="s">
        <v>9</v>
      </c>
      <c r="D1088" s="10" t="s">
        <v>16</v>
      </c>
      <c r="E1088" s="10" t="s">
        <v>985</v>
      </c>
      <c r="F1088" s="10" t="s">
        <v>385</v>
      </c>
      <c r="G1088" s="28"/>
      <c r="H1088" s="28"/>
      <c r="I1088" s="29"/>
      <c r="J1088" s="7"/>
      <c r="K1088" s="7">
        <v>15978</v>
      </c>
      <c r="L1088" s="7">
        <f>J1088+K1088</f>
        <v>15978</v>
      </c>
      <c r="M1088" s="7"/>
      <c r="N1088" s="7">
        <v>15978</v>
      </c>
      <c r="O1088" s="7">
        <v>15978</v>
      </c>
      <c r="P1088" s="349">
        <v>15978</v>
      </c>
      <c r="Q1088" s="257">
        <v>100</v>
      </c>
    </row>
    <row r="1089" spans="1:17">
      <c r="A1089" s="8" t="s">
        <v>954</v>
      </c>
      <c r="B1089" s="10" t="s">
        <v>507</v>
      </c>
      <c r="C1089" s="10" t="s">
        <v>9</v>
      </c>
      <c r="D1089" s="10" t="s">
        <v>16</v>
      </c>
      <c r="E1089" s="10" t="s">
        <v>953</v>
      </c>
      <c r="F1089" s="10"/>
      <c r="G1089" s="11"/>
      <c r="H1089" s="11"/>
      <c r="I1089" s="7"/>
      <c r="J1089" s="7">
        <f t="shared" ref="J1089:M1089" si="428">J1090</f>
        <v>0</v>
      </c>
      <c r="K1089" s="7">
        <f t="shared" si="428"/>
        <v>48652</v>
      </c>
      <c r="L1089" s="7">
        <f t="shared" si="428"/>
        <v>48652</v>
      </c>
      <c r="M1089" s="7">
        <f t="shared" si="428"/>
        <v>0</v>
      </c>
      <c r="N1089" s="7">
        <v>48652</v>
      </c>
      <c r="O1089" s="7">
        <v>45422.7</v>
      </c>
      <c r="P1089" s="349">
        <v>45422.7</v>
      </c>
      <c r="Q1089" s="257">
        <v>100</v>
      </c>
    </row>
    <row r="1090" spans="1:17" ht="31.5">
      <c r="A1090" s="8" t="s">
        <v>465</v>
      </c>
      <c r="B1090" s="10" t="s">
        <v>507</v>
      </c>
      <c r="C1090" s="10" t="s">
        <v>9</v>
      </c>
      <c r="D1090" s="10" t="s">
        <v>16</v>
      </c>
      <c r="E1090" s="10" t="s">
        <v>953</v>
      </c>
      <c r="F1090" s="10" t="s">
        <v>475</v>
      </c>
      <c r="G1090" s="11"/>
      <c r="H1090" s="11"/>
      <c r="I1090" s="7"/>
      <c r="J1090" s="7"/>
      <c r="K1090" s="7">
        <f>17907.3+30744.7</f>
        <v>48652</v>
      </c>
      <c r="L1090" s="7">
        <f>J1090+K1090</f>
        <v>48652</v>
      </c>
      <c r="M1090" s="7"/>
      <c r="N1090" s="7">
        <v>48652</v>
      </c>
      <c r="O1090" s="7">
        <v>45422.7</v>
      </c>
      <c r="P1090" s="349">
        <v>45422.7</v>
      </c>
      <c r="Q1090" s="257">
        <v>100</v>
      </c>
    </row>
    <row r="1091" spans="1:17">
      <c r="A1091" s="8" t="s">
        <v>17</v>
      </c>
      <c r="B1091" s="10" t="s">
        <v>507</v>
      </c>
      <c r="C1091" s="10" t="s">
        <v>9</v>
      </c>
      <c r="D1091" s="10" t="s">
        <v>16</v>
      </c>
      <c r="E1091" s="10" t="s">
        <v>18</v>
      </c>
      <c r="F1091" s="27"/>
      <c r="G1091" s="28">
        <v>16000</v>
      </c>
      <c r="H1091" s="11">
        <v>16000</v>
      </c>
      <c r="I1091" s="7">
        <f t="shared" ref="I1091:M1091" si="429">I1092+I1094</f>
        <v>14140</v>
      </c>
      <c r="J1091" s="7">
        <f t="shared" si="429"/>
        <v>30140</v>
      </c>
      <c r="K1091" s="7">
        <f t="shared" si="429"/>
        <v>0</v>
      </c>
      <c r="L1091" s="7">
        <f t="shared" si="429"/>
        <v>30140</v>
      </c>
      <c r="M1091" s="7">
        <f t="shared" si="429"/>
        <v>0</v>
      </c>
      <c r="N1091" s="7">
        <v>30140</v>
      </c>
      <c r="O1091" s="7">
        <v>30140</v>
      </c>
      <c r="P1091" s="349">
        <v>30140</v>
      </c>
      <c r="Q1091" s="257">
        <v>100</v>
      </c>
    </row>
    <row r="1092" spans="1:17" s="21" customFormat="1" ht="47.25">
      <c r="A1092" s="8" t="s">
        <v>702</v>
      </c>
      <c r="B1092" s="10" t="s">
        <v>507</v>
      </c>
      <c r="C1092" s="10" t="s">
        <v>9</v>
      </c>
      <c r="D1092" s="10" t="s">
        <v>16</v>
      </c>
      <c r="E1092" s="10" t="s">
        <v>662</v>
      </c>
      <c r="F1092" s="10"/>
      <c r="G1092" s="11">
        <v>16000</v>
      </c>
      <c r="H1092" s="11">
        <v>16000</v>
      </c>
      <c r="I1092" s="7">
        <f t="shared" ref="I1092:M1092" si="430">I1093</f>
        <v>7000</v>
      </c>
      <c r="J1092" s="7">
        <f t="shared" si="430"/>
        <v>23000</v>
      </c>
      <c r="K1092" s="7">
        <f t="shared" si="430"/>
        <v>0</v>
      </c>
      <c r="L1092" s="7">
        <f t="shared" si="430"/>
        <v>23000</v>
      </c>
      <c r="M1092" s="7">
        <f t="shared" si="430"/>
        <v>0</v>
      </c>
      <c r="N1092" s="7">
        <v>23000</v>
      </c>
      <c r="O1092" s="7">
        <v>23000</v>
      </c>
      <c r="P1092" s="349">
        <v>23000</v>
      </c>
      <c r="Q1092" s="257">
        <v>100</v>
      </c>
    </row>
    <row r="1093" spans="1:17" s="21" customFormat="1" ht="31.5">
      <c r="A1093" s="8" t="s">
        <v>465</v>
      </c>
      <c r="B1093" s="10" t="s">
        <v>507</v>
      </c>
      <c r="C1093" s="10" t="s">
        <v>9</v>
      </c>
      <c r="D1093" s="10" t="s">
        <v>16</v>
      </c>
      <c r="E1093" s="10" t="s">
        <v>662</v>
      </c>
      <c r="F1093" s="10" t="s">
        <v>475</v>
      </c>
      <c r="G1093" s="11">
        <v>16000</v>
      </c>
      <c r="H1093" s="11">
        <v>16000</v>
      </c>
      <c r="I1093" s="7">
        <f>8000-1000</f>
        <v>7000</v>
      </c>
      <c r="J1093" s="7">
        <f>H1093+I1093</f>
        <v>23000</v>
      </c>
      <c r="K1093" s="7"/>
      <c r="L1093" s="7">
        <f>J1093+K1093</f>
        <v>23000</v>
      </c>
      <c r="M1093" s="7"/>
      <c r="N1093" s="7">
        <v>23000</v>
      </c>
      <c r="O1093" s="7">
        <v>23000</v>
      </c>
      <c r="P1093" s="349">
        <v>23000</v>
      </c>
      <c r="Q1093" s="257">
        <v>100</v>
      </c>
    </row>
    <row r="1094" spans="1:17" s="21" customFormat="1" ht="47.25">
      <c r="A1094" s="9" t="s">
        <v>221</v>
      </c>
      <c r="B1094" s="10" t="s">
        <v>507</v>
      </c>
      <c r="C1094" s="10" t="s">
        <v>9</v>
      </c>
      <c r="D1094" s="10" t="s">
        <v>16</v>
      </c>
      <c r="E1094" s="10" t="s">
        <v>222</v>
      </c>
      <c r="F1094" s="10"/>
      <c r="G1094" s="11"/>
      <c r="H1094" s="11">
        <f t="shared" ref="H1094:M1095" si="431">H1095</f>
        <v>0</v>
      </c>
      <c r="I1094" s="52">
        <f t="shared" si="431"/>
        <v>7140</v>
      </c>
      <c r="J1094" s="52">
        <f t="shared" si="431"/>
        <v>7140</v>
      </c>
      <c r="K1094" s="52">
        <f t="shared" si="431"/>
        <v>0</v>
      </c>
      <c r="L1094" s="52">
        <f t="shared" si="431"/>
        <v>7140</v>
      </c>
      <c r="M1094" s="52">
        <f t="shared" si="431"/>
        <v>0</v>
      </c>
      <c r="N1094" s="52">
        <v>7140</v>
      </c>
      <c r="O1094" s="52">
        <v>7140</v>
      </c>
      <c r="P1094" s="349">
        <v>7140</v>
      </c>
      <c r="Q1094" s="257">
        <v>100</v>
      </c>
    </row>
    <row r="1095" spans="1:17" s="21" customFormat="1" ht="31.5">
      <c r="A1095" s="9" t="s">
        <v>877</v>
      </c>
      <c r="B1095" s="10" t="s">
        <v>507</v>
      </c>
      <c r="C1095" s="10" t="s">
        <v>9</v>
      </c>
      <c r="D1095" s="10" t="s">
        <v>16</v>
      </c>
      <c r="E1095" s="10" t="s">
        <v>588</v>
      </c>
      <c r="F1095" s="10"/>
      <c r="G1095" s="11"/>
      <c r="H1095" s="11">
        <f t="shared" si="431"/>
        <v>0</v>
      </c>
      <c r="I1095" s="52">
        <f t="shared" si="431"/>
        <v>7140</v>
      </c>
      <c r="J1095" s="52">
        <f t="shared" si="431"/>
        <v>7140</v>
      </c>
      <c r="K1095" s="52">
        <f t="shared" si="431"/>
        <v>0</v>
      </c>
      <c r="L1095" s="52">
        <f t="shared" si="431"/>
        <v>7140</v>
      </c>
      <c r="M1095" s="52">
        <f t="shared" si="431"/>
        <v>0</v>
      </c>
      <c r="N1095" s="52">
        <v>7140</v>
      </c>
      <c r="O1095" s="52">
        <v>7140</v>
      </c>
      <c r="P1095" s="349">
        <v>7140</v>
      </c>
      <c r="Q1095" s="257">
        <v>100</v>
      </c>
    </row>
    <row r="1096" spans="1:17" s="21" customFormat="1" ht="47.25">
      <c r="A1096" s="8" t="s">
        <v>438</v>
      </c>
      <c r="B1096" s="10" t="s">
        <v>507</v>
      </c>
      <c r="C1096" s="10" t="s">
        <v>9</v>
      </c>
      <c r="D1096" s="10" t="s">
        <v>16</v>
      </c>
      <c r="E1096" s="10" t="s">
        <v>588</v>
      </c>
      <c r="F1096" s="10" t="s">
        <v>385</v>
      </c>
      <c r="G1096" s="11"/>
      <c r="H1096" s="11"/>
      <c r="I1096" s="7">
        <v>7140</v>
      </c>
      <c r="J1096" s="7">
        <f>H1096+I1096</f>
        <v>7140</v>
      </c>
      <c r="K1096" s="7"/>
      <c r="L1096" s="7">
        <f>J1096+K1096</f>
        <v>7140</v>
      </c>
      <c r="M1096" s="7"/>
      <c r="N1096" s="7">
        <v>7140</v>
      </c>
      <c r="O1096" s="7">
        <v>7140</v>
      </c>
      <c r="P1096" s="349">
        <v>7140</v>
      </c>
      <c r="Q1096" s="257">
        <v>100</v>
      </c>
    </row>
    <row r="1097" spans="1:17" ht="31.5">
      <c r="A1097" s="26" t="s">
        <v>696</v>
      </c>
      <c r="B1097" s="27" t="s">
        <v>507</v>
      </c>
      <c r="C1097" s="27" t="s">
        <v>9</v>
      </c>
      <c r="D1097" s="27" t="s">
        <v>26</v>
      </c>
      <c r="E1097" s="27"/>
      <c r="F1097" s="27"/>
      <c r="G1097" s="28">
        <v>45550</v>
      </c>
      <c r="H1097" s="28">
        <v>45550</v>
      </c>
      <c r="I1097" s="29">
        <f>I1103+I1115</f>
        <v>48927.6</v>
      </c>
      <c r="J1097" s="29">
        <f t="shared" ref="J1097:M1097" si="432">J1103+J1115+J1100+J1098</f>
        <v>94477.6</v>
      </c>
      <c r="K1097" s="29">
        <f t="shared" si="432"/>
        <v>111342.39999999999</v>
      </c>
      <c r="L1097" s="29">
        <f t="shared" si="432"/>
        <v>205820</v>
      </c>
      <c r="M1097" s="29">
        <f t="shared" si="432"/>
        <v>358.3</v>
      </c>
      <c r="N1097" s="29">
        <v>206178.3</v>
      </c>
      <c r="O1097" s="29">
        <v>206178.3</v>
      </c>
      <c r="P1097" s="348">
        <v>206178.3</v>
      </c>
      <c r="Q1097" s="256">
        <v>100</v>
      </c>
    </row>
    <row r="1098" spans="1:17" ht="31.5">
      <c r="A1098" s="32" t="s">
        <v>984</v>
      </c>
      <c r="B1098" s="44" t="s">
        <v>507</v>
      </c>
      <c r="C1098" s="44" t="s">
        <v>9</v>
      </c>
      <c r="D1098" s="44" t="s">
        <v>26</v>
      </c>
      <c r="E1098" s="10" t="s">
        <v>985</v>
      </c>
      <c r="F1098" s="10"/>
      <c r="G1098" s="11"/>
      <c r="H1098" s="11"/>
      <c r="I1098" s="7"/>
      <c r="J1098" s="7">
        <f t="shared" ref="J1098:M1098" si="433">J1099</f>
        <v>0</v>
      </c>
      <c r="K1098" s="7">
        <f t="shared" si="433"/>
        <v>54512</v>
      </c>
      <c r="L1098" s="7">
        <f t="shared" si="433"/>
        <v>54512</v>
      </c>
      <c r="M1098" s="7">
        <f t="shared" si="433"/>
        <v>0</v>
      </c>
      <c r="N1098" s="7">
        <v>54512</v>
      </c>
      <c r="O1098" s="7">
        <v>54512</v>
      </c>
      <c r="P1098" s="349">
        <v>54512</v>
      </c>
      <c r="Q1098" s="257">
        <v>100</v>
      </c>
    </row>
    <row r="1099" spans="1:17" ht="47.25">
      <c r="A1099" s="8" t="s">
        <v>438</v>
      </c>
      <c r="B1099" s="44" t="s">
        <v>507</v>
      </c>
      <c r="C1099" s="44" t="s">
        <v>9</v>
      </c>
      <c r="D1099" s="44" t="s">
        <v>26</v>
      </c>
      <c r="E1099" s="10" t="s">
        <v>985</v>
      </c>
      <c r="F1099" s="10" t="s">
        <v>385</v>
      </c>
      <c r="G1099" s="11"/>
      <c r="H1099" s="11"/>
      <c r="I1099" s="7"/>
      <c r="J1099" s="7"/>
      <c r="K1099" s="7">
        <v>54512</v>
      </c>
      <c r="L1099" s="7">
        <f>J1099+K1099</f>
        <v>54512</v>
      </c>
      <c r="M1099" s="7"/>
      <c r="N1099" s="7">
        <v>54512</v>
      </c>
      <c r="O1099" s="7">
        <v>54512</v>
      </c>
      <c r="P1099" s="349">
        <v>54512</v>
      </c>
      <c r="Q1099" s="257">
        <v>100</v>
      </c>
    </row>
    <row r="1100" spans="1:17" s="47" customFormat="1" ht="47.25">
      <c r="A1100" s="33" t="s">
        <v>980</v>
      </c>
      <c r="B1100" s="44" t="s">
        <v>507</v>
      </c>
      <c r="C1100" s="44" t="s">
        <v>9</v>
      </c>
      <c r="D1100" s="44" t="s">
        <v>26</v>
      </c>
      <c r="E1100" s="44" t="s">
        <v>981</v>
      </c>
      <c r="F1100" s="44"/>
      <c r="G1100" s="45"/>
      <c r="H1100" s="45"/>
      <c r="I1100" s="46"/>
      <c r="J1100" s="52">
        <f t="shared" ref="J1100:M1101" si="434">J1101</f>
        <v>0</v>
      </c>
      <c r="K1100" s="52">
        <f t="shared" si="434"/>
        <v>51939.9</v>
      </c>
      <c r="L1100" s="52">
        <f t="shared" si="434"/>
        <v>51939.9</v>
      </c>
      <c r="M1100" s="52">
        <f t="shared" si="434"/>
        <v>0</v>
      </c>
      <c r="N1100" s="52">
        <v>51939.9</v>
      </c>
      <c r="O1100" s="52">
        <v>51939.9</v>
      </c>
      <c r="P1100" s="349">
        <v>51939.9</v>
      </c>
      <c r="Q1100" s="257">
        <v>100</v>
      </c>
    </row>
    <row r="1101" spans="1:17" ht="63">
      <c r="A1101" s="33" t="s">
        <v>983</v>
      </c>
      <c r="B1101" s="10" t="s">
        <v>507</v>
      </c>
      <c r="C1101" s="10" t="s">
        <v>9</v>
      </c>
      <c r="D1101" s="10" t="s">
        <v>26</v>
      </c>
      <c r="E1101" s="10" t="s">
        <v>982</v>
      </c>
      <c r="F1101" s="10"/>
      <c r="G1101" s="11"/>
      <c r="H1101" s="11"/>
      <c r="I1101" s="7"/>
      <c r="J1101" s="7">
        <f t="shared" si="434"/>
        <v>0</v>
      </c>
      <c r="K1101" s="7">
        <f t="shared" si="434"/>
        <v>51939.9</v>
      </c>
      <c r="L1101" s="7">
        <f t="shared" si="434"/>
        <v>51939.9</v>
      </c>
      <c r="M1101" s="7">
        <f t="shared" si="434"/>
        <v>0</v>
      </c>
      <c r="N1101" s="7">
        <v>51939.9</v>
      </c>
      <c r="O1101" s="7">
        <v>51939.9</v>
      </c>
      <c r="P1101" s="349">
        <v>51939.9</v>
      </c>
      <c r="Q1101" s="257">
        <v>100</v>
      </c>
    </row>
    <row r="1102" spans="1:17" ht="31.5">
      <c r="A1102" s="8" t="s">
        <v>465</v>
      </c>
      <c r="B1102" s="10" t="s">
        <v>507</v>
      </c>
      <c r="C1102" s="10" t="s">
        <v>9</v>
      </c>
      <c r="D1102" s="10" t="s">
        <v>26</v>
      </c>
      <c r="E1102" s="10" t="s">
        <v>982</v>
      </c>
      <c r="F1102" s="10" t="s">
        <v>475</v>
      </c>
      <c r="G1102" s="11"/>
      <c r="H1102" s="11"/>
      <c r="I1102" s="7"/>
      <c r="J1102" s="7"/>
      <c r="K1102" s="7">
        <f>28117+23822.9</f>
        <v>51939.9</v>
      </c>
      <c r="L1102" s="7">
        <f>J1102+K1102</f>
        <v>51939.9</v>
      </c>
      <c r="M1102" s="7"/>
      <c r="N1102" s="7">
        <v>51939.9</v>
      </c>
      <c r="O1102" s="7">
        <v>51939.9</v>
      </c>
      <c r="P1102" s="349">
        <v>51939.9</v>
      </c>
      <c r="Q1102" s="257">
        <v>100</v>
      </c>
    </row>
    <row r="1103" spans="1:17" s="21" customFormat="1">
      <c r="A1103" s="8" t="s">
        <v>17</v>
      </c>
      <c r="B1103" s="10" t="s">
        <v>507</v>
      </c>
      <c r="C1103" s="10" t="s">
        <v>9</v>
      </c>
      <c r="D1103" s="10" t="s">
        <v>26</v>
      </c>
      <c r="E1103" s="10" t="s">
        <v>18</v>
      </c>
      <c r="F1103" s="10"/>
      <c r="G1103" s="11">
        <v>45550</v>
      </c>
      <c r="H1103" s="11">
        <v>45550</v>
      </c>
      <c r="I1103" s="7">
        <f t="shared" ref="I1103:M1103" si="435">I1104+I1106+I1108+I1113+I1110</f>
        <v>32050</v>
      </c>
      <c r="J1103" s="7">
        <f t="shared" si="435"/>
        <v>77600</v>
      </c>
      <c r="K1103" s="7">
        <f t="shared" si="435"/>
        <v>4890.5</v>
      </c>
      <c r="L1103" s="7">
        <f t="shared" si="435"/>
        <v>82490.5</v>
      </c>
      <c r="M1103" s="7">
        <f t="shared" si="435"/>
        <v>0</v>
      </c>
      <c r="N1103" s="7">
        <v>82490.5</v>
      </c>
      <c r="O1103" s="7">
        <v>82490.5</v>
      </c>
      <c r="P1103" s="349">
        <v>82490.5</v>
      </c>
      <c r="Q1103" s="257">
        <v>100</v>
      </c>
    </row>
    <row r="1104" spans="1:17" s="21" customFormat="1" ht="63">
      <c r="A1104" s="8" t="s">
        <v>697</v>
      </c>
      <c r="B1104" s="10" t="s">
        <v>507</v>
      </c>
      <c r="C1104" s="10" t="s">
        <v>9</v>
      </c>
      <c r="D1104" s="10" t="s">
        <v>26</v>
      </c>
      <c r="E1104" s="10" t="s">
        <v>230</v>
      </c>
      <c r="F1104" s="10"/>
      <c r="G1104" s="11">
        <v>19250</v>
      </c>
      <c r="H1104" s="31">
        <v>19250</v>
      </c>
      <c r="I1104" s="7">
        <f t="shared" ref="I1104:M1104" si="436">I1105</f>
        <v>0</v>
      </c>
      <c r="J1104" s="7">
        <f t="shared" si="436"/>
        <v>19250</v>
      </c>
      <c r="K1104" s="7">
        <f t="shared" si="436"/>
        <v>1090.5</v>
      </c>
      <c r="L1104" s="7">
        <f t="shared" si="436"/>
        <v>20340.5</v>
      </c>
      <c r="M1104" s="7">
        <f t="shared" si="436"/>
        <v>0</v>
      </c>
      <c r="N1104" s="7">
        <v>20340.5</v>
      </c>
      <c r="O1104" s="7">
        <v>20340.5</v>
      </c>
      <c r="P1104" s="349">
        <v>20340.5</v>
      </c>
      <c r="Q1104" s="257">
        <v>100</v>
      </c>
    </row>
    <row r="1105" spans="1:17" s="21" customFormat="1" ht="31.5">
      <c r="A1105" s="8" t="s">
        <v>465</v>
      </c>
      <c r="B1105" s="10" t="s">
        <v>507</v>
      </c>
      <c r="C1105" s="10" t="s">
        <v>9</v>
      </c>
      <c r="D1105" s="10" t="s">
        <v>26</v>
      </c>
      <c r="E1105" s="10" t="s">
        <v>230</v>
      </c>
      <c r="F1105" s="10" t="s">
        <v>475</v>
      </c>
      <c r="G1105" s="11">
        <v>19250</v>
      </c>
      <c r="H1105" s="31">
        <v>19250</v>
      </c>
      <c r="I1105" s="7"/>
      <c r="J1105" s="7">
        <f>H1105+I1105</f>
        <v>19250</v>
      </c>
      <c r="K1105" s="7">
        <f>3205.2-2114.7</f>
        <v>1090.5</v>
      </c>
      <c r="L1105" s="7">
        <f>J1105+K1105</f>
        <v>20340.5</v>
      </c>
      <c r="M1105" s="7"/>
      <c r="N1105" s="7">
        <v>20340.5</v>
      </c>
      <c r="O1105" s="7">
        <v>20340.5</v>
      </c>
      <c r="P1105" s="349">
        <v>20340.5</v>
      </c>
      <c r="Q1105" s="257">
        <v>100</v>
      </c>
    </row>
    <row r="1106" spans="1:17" s="21" customFormat="1" ht="47.25">
      <c r="A1106" s="8" t="s">
        <v>699</v>
      </c>
      <c r="B1106" s="10" t="s">
        <v>507</v>
      </c>
      <c r="C1106" s="10" t="s">
        <v>9</v>
      </c>
      <c r="D1106" s="10" t="s">
        <v>26</v>
      </c>
      <c r="E1106" s="10" t="s">
        <v>104</v>
      </c>
      <c r="F1106" s="10"/>
      <c r="G1106" s="11">
        <v>8000</v>
      </c>
      <c r="H1106" s="31">
        <v>8000</v>
      </c>
      <c r="I1106" s="7">
        <f t="shared" ref="I1106:M1106" si="437">I1107</f>
        <v>0</v>
      </c>
      <c r="J1106" s="7">
        <f t="shared" si="437"/>
        <v>8000</v>
      </c>
      <c r="K1106" s="7">
        <f t="shared" si="437"/>
        <v>0</v>
      </c>
      <c r="L1106" s="7">
        <f t="shared" si="437"/>
        <v>8000</v>
      </c>
      <c r="M1106" s="7">
        <f t="shared" si="437"/>
        <v>0</v>
      </c>
      <c r="N1106" s="7">
        <v>8000</v>
      </c>
      <c r="O1106" s="7">
        <v>8000</v>
      </c>
      <c r="P1106" s="349">
        <v>8000</v>
      </c>
      <c r="Q1106" s="257">
        <v>100</v>
      </c>
    </row>
    <row r="1107" spans="1:17" s="21" customFormat="1" ht="31.5">
      <c r="A1107" s="8" t="s">
        <v>465</v>
      </c>
      <c r="B1107" s="10" t="s">
        <v>507</v>
      </c>
      <c r="C1107" s="10" t="s">
        <v>9</v>
      </c>
      <c r="D1107" s="10" t="s">
        <v>26</v>
      </c>
      <c r="E1107" s="10" t="s">
        <v>104</v>
      </c>
      <c r="F1107" s="10" t="s">
        <v>475</v>
      </c>
      <c r="G1107" s="11">
        <v>8000</v>
      </c>
      <c r="H1107" s="31">
        <v>8000</v>
      </c>
      <c r="I1107" s="7"/>
      <c r="J1107" s="7">
        <f>H1107+I1107</f>
        <v>8000</v>
      </c>
      <c r="K1107" s="7"/>
      <c r="L1107" s="7">
        <f>J1107+K1107</f>
        <v>8000</v>
      </c>
      <c r="M1107" s="7"/>
      <c r="N1107" s="7">
        <v>8000</v>
      </c>
      <c r="O1107" s="7">
        <v>8000</v>
      </c>
      <c r="P1107" s="349">
        <v>8000</v>
      </c>
      <c r="Q1107" s="257">
        <v>100</v>
      </c>
    </row>
    <row r="1108" spans="1:17" s="21" customFormat="1" ht="47.25">
      <c r="A1108" s="8" t="s">
        <v>698</v>
      </c>
      <c r="B1108" s="10" t="s">
        <v>507</v>
      </c>
      <c r="C1108" s="10" t="s">
        <v>9</v>
      </c>
      <c r="D1108" s="10" t="s">
        <v>26</v>
      </c>
      <c r="E1108" s="10" t="s">
        <v>228</v>
      </c>
      <c r="F1108" s="10"/>
      <c r="G1108" s="11">
        <v>4300</v>
      </c>
      <c r="H1108" s="31">
        <v>4300</v>
      </c>
      <c r="I1108" s="7">
        <f t="shared" ref="I1108:M1108" si="438">I1109</f>
        <v>0</v>
      </c>
      <c r="J1108" s="7">
        <f t="shared" si="438"/>
        <v>4300</v>
      </c>
      <c r="K1108" s="7">
        <f t="shared" si="438"/>
        <v>0</v>
      </c>
      <c r="L1108" s="7">
        <f t="shared" si="438"/>
        <v>4300</v>
      </c>
      <c r="M1108" s="7">
        <f t="shared" si="438"/>
        <v>0</v>
      </c>
      <c r="N1108" s="7">
        <v>4300</v>
      </c>
      <c r="O1108" s="7">
        <v>4300</v>
      </c>
      <c r="P1108" s="349">
        <v>4300</v>
      </c>
      <c r="Q1108" s="257">
        <v>100</v>
      </c>
    </row>
    <row r="1109" spans="1:17" s="21" customFormat="1" ht="31.5">
      <c r="A1109" s="8" t="s">
        <v>465</v>
      </c>
      <c r="B1109" s="10" t="s">
        <v>507</v>
      </c>
      <c r="C1109" s="10" t="s">
        <v>9</v>
      </c>
      <c r="D1109" s="10" t="s">
        <v>26</v>
      </c>
      <c r="E1109" s="10" t="s">
        <v>228</v>
      </c>
      <c r="F1109" s="10" t="s">
        <v>475</v>
      </c>
      <c r="G1109" s="11">
        <v>4300</v>
      </c>
      <c r="H1109" s="31">
        <v>4300</v>
      </c>
      <c r="I1109" s="7"/>
      <c r="J1109" s="7">
        <f>H1109+I1109</f>
        <v>4300</v>
      </c>
      <c r="K1109" s="7"/>
      <c r="L1109" s="7">
        <f>J1109+K1109</f>
        <v>4300</v>
      </c>
      <c r="M1109" s="7"/>
      <c r="N1109" s="7">
        <v>4300</v>
      </c>
      <c r="O1109" s="7">
        <v>4300</v>
      </c>
      <c r="P1109" s="349">
        <v>4300</v>
      </c>
      <c r="Q1109" s="257">
        <v>100</v>
      </c>
    </row>
    <row r="1110" spans="1:17" s="21" customFormat="1" ht="47.25">
      <c r="A1110" s="9" t="s">
        <v>221</v>
      </c>
      <c r="B1110" s="10" t="s">
        <v>507</v>
      </c>
      <c r="C1110" s="10" t="s">
        <v>9</v>
      </c>
      <c r="D1110" s="10" t="s">
        <v>26</v>
      </c>
      <c r="E1110" s="10" t="s">
        <v>222</v>
      </c>
      <c r="F1110" s="10"/>
      <c r="G1110" s="11"/>
      <c r="H1110" s="31">
        <f t="shared" ref="H1110:M1111" si="439">H1111</f>
        <v>0</v>
      </c>
      <c r="I1110" s="36">
        <f t="shared" si="439"/>
        <v>27050</v>
      </c>
      <c r="J1110" s="36">
        <f t="shared" si="439"/>
        <v>27050</v>
      </c>
      <c r="K1110" s="36">
        <f t="shared" si="439"/>
        <v>-2200</v>
      </c>
      <c r="L1110" s="36">
        <f t="shared" si="439"/>
        <v>24850</v>
      </c>
      <c r="M1110" s="36">
        <f t="shared" si="439"/>
        <v>0</v>
      </c>
      <c r="N1110" s="36">
        <v>24850</v>
      </c>
      <c r="O1110" s="36">
        <v>24850</v>
      </c>
      <c r="P1110" s="350">
        <v>24850</v>
      </c>
      <c r="Q1110" s="257">
        <v>100</v>
      </c>
    </row>
    <row r="1111" spans="1:17" s="21" customFormat="1" ht="31.5">
      <c r="A1111" s="9" t="s">
        <v>877</v>
      </c>
      <c r="B1111" s="10" t="s">
        <v>507</v>
      </c>
      <c r="C1111" s="10" t="s">
        <v>9</v>
      </c>
      <c r="D1111" s="10" t="s">
        <v>26</v>
      </c>
      <c r="E1111" s="10" t="s">
        <v>588</v>
      </c>
      <c r="F1111" s="10"/>
      <c r="G1111" s="11"/>
      <c r="H1111" s="31">
        <f t="shared" si="439"/>
        <v>0</v>
      </c>
      <c r="I1111" s="36">
        <f t="shared" si="439"/>
        <v>27050</v>
      </c>
      <c r="J1111" s="36">
        <f t="shared" si="439"/>
        <v>27050</v>
      </c>
      <c r="K1111" s="36">
        <f t="shared" si="439"/>
        <v>-2200</v>
      </c>
      <c r="L1111" s="36">
        <f t="shared" si="439"/>
        <v>24850</v>
      </c>
      <c r="M1111" s="36">
        <f t="shared" si="439"/>
        <v>0</v>
      </c>
      <c r="N1111" s="36">
        <v>24850</v>
      </c>
      <c r="O1111" s="36">
        <v>24850</v>
      </c>
      <c r="P1111" s="350">
        <v>24850</v>
      </c>
      <c r="Q1111" s="257">
        <v>100</v>
      </c>
    </row>
    <row r="1112" spans="1:17" s="21" customFormat="1" ht="47.25">
      <c r="A1112" s="8" t="s">
        <v>438</v>
      </c>
      <c r="B1112" s="10" t="s">
        <v>507</v>
      </c>
      <c r="C1112" s="10" t="s">
        <v>9</v>
      </c>
      <c r="D1112" s="10" t="s">
        <v>26</v>
      </c>
      <c r="E1112" s="10" t="s">
        <v>588</v>
      </c>
      <c r="F1112" s="10" t="s">
        <v>385</v>
      </c>
      <c r="G1112" s="11"/>
      <c r="H1112" s="31"/>
      <c r="I1112" s="7">
        <v>27050</v>
      </c>
      <c r="J1112" s="7">
        <f>H1112+I1112</f>
        <v>27050</v>
      </c>
      <c r="K1112" s="7">
        <v>-2200</v>
      </c>
      <c r="L1112" s="7">
        <f>J1112+K1112</f>
        <v>24850</v>
      </c>
      <c r="M1112" s="7"/>
      <c r="N1112" s="7">
        <v>24850</v>
      </c>
      <c r="O1112" s="7">
        <v>24850</v>
      </c>
      <c r="P1112" s="349">
        <v>24850</v>
      </c>
      <c r="Q1112" s="257">
        <v>100</v>
      </c>
    </row>
    <row r="1113" spans="1:17" s="21" customFormat="1" ht="47.25">
      <c r="A1113" s="8" t="s">
        <v>700</v>
      </c>
      <c r="B1113" s="10" t="s">
        <v>507</v>
      </c>
      <c r="C1113" s="10" t="s">
        <v>9</v>
      </c>
      <c r="D1113" s="10" t="s">
        <v>26</v>
      </c>
      <c r="E1113" s="10" t="s">
        <v>22</v>
      </c>
      <c r="F1113" s="10"/>
      <c r="G1113" s="11">
        <v>14000</v>
      </c>
      <c r="H1113" s="31">
        <v>14000</v>
      </c>
      <c r="I1113" s="7">
        <f t="shared" ref="I1113:M1113" si="440">I1114</f>
        <v>5000</v>
      </c>
      <c r="J1113" s="7">
        <f t="shared" si="440"/>
        <v>19000</v>
      </c>
      <c r="K1113" s="7">
        <f t="shared" si="440"/>
        <v>6000</v>
      </c>
      <c r="L1113" s="7">
        <f t="shared" si="440"/>
        <v>25000</v>
      </c>
      <c r="M1113" s="7">
        <f t="shared" si="440"/>
        <v>0</v>
      </c>
      <c r="N1113" s="7">
        <v>25000</v>
      </c>
      <c r="O1113" s="7">
        <v>25000</v>
      </c>
      <c r="P1113" s="349">
        <v>25000</v>
      </c>
      <c r="Q1113" s="257">
        <v>100</v>
      </c>
    </row>
    <row r="1114" spans="1:17" s="21" customFormat="1" ht="31.5">
      <c r="A1114" s="8" t="s">
        <v>465</v>
      </c>
      <c r="B1114" s="10" t="s">
        <v>507</v>
      </c>
      <c r="C1114" s="10" t="s">
        <v>9</v>
      </c>
      <c r="D1114" s="10" t="s">
        <v>26</v>
      </c>
      <c r="E1114" s="10" t="s">
        <v>22</v>
      </c>
      <c r="F1114" s="10" t="s">
        <v>475</v>
      </c>
      <c r="G1114" s="11">
        <v>14000</v>
      </c>
      <c r="H1114" s="31">
        <v>14000</v>
      </c>
      <c r="I1114" s="7">
        <v>5000</v>
      </c>
      <c r="J1114" s="7">
        <f>H1114+I1114</f>
        <v>19000</v>
      </c>
      <c r="K1114" s="7">
        <f>3000+3000</f>
        <v>6000</v>
      </c>
      <c r="L1114" s="7">
        <f>J1114+K1114</f>
        <v>25000</v>
      </c>
      <c r="M1114" s="7"/>
      <c r="N1114" s="7">
        <v>25000</v>
      </c>
      <c r="O1114" s="7">
        <v>25000</v>
      </c>
      <c r="P1114" s="349">
        <v>25000</v>
      </c>
      <c r="Q1114" s="257">
        <v>100</v>
      </c>
    </row>
    <row r="1115" spans="1:17" s="21" customFormat="1" ht="31.5">
      <c r="A1115" s="33" t="s">
        <v>797</v>
      </c>
      <c r="B1115" s="10" t="s">
        <v>507</v>
      </c>
      <c r="C1115" s="10" t="s">
        <v>9</v>
      </c>
      <c r="D1115" s="10" t="s">
        <v>26</v>
      </c>
      <c r="E1115" s="10" t="s">
        <v>796</v>
      </c>
      <c r="F1115" s="10"/>
      <c r="G1115" s="11"/>
      <c r="H1115" s="31">
        <f t="shared" ref="H1115:M1115" si="441">H1116</f>
        <v>0</v>
      </c>
      <c r="I1115" s="31">
        <f t="shared" si="441"/>
        <v>16877.599999999999</v>
      </c>
      <c r="J1115" s="31">
        <f t="shared" si="441"/>
        <v>16877.599999999999</v>
      </c>
      <c r="K1115" s="31">
        <f t="shared" si="441"/>
        <v>0</v>
      </c>
      <c r="L1115" s="31">
        <f t="shared" si="441"/>
        <v>16877.599999999999</v>
      </c>
      <c r="M1115" s="31">
        <f t="shared" si="441"/>
        <v>358.3</v>
      </c>
      <c r="N1115" s="31">
        <v>17235.900000000001</v>
      </c>
      <c r="O1115" s="36">
        <v>17235.900000000001</v>
      </c>
      <c r="P1115" s="350">
        <v>17235.900000000001</v>
      </c>
      <c r="Q1115" s="257">
        <v>100</v>
      </c>
    </row>
    <row r="1116" spans="1:17" s="21" customFormat="1" ht="31.5">
      <c r="A1116" s="8" t="s">
        <v>465</v>
      </c>
      <c r="B1116" s="10" t="s">
        <v>507</v>
      </c>
      <c r="C1116" s="10" t="s">
        <v>9</v>
      </c>
      <c r="D1116" s="10" t="s">
        <v>26</v>
      </c>
      <c r="E1116" s="10" t="s">
        <v>796</v>
      </c>
      <c r="F1116" s="10" t="s">
        <v>475</v>
      </c>
      <c r="G1116" s="11"/>
      <c r="H1116" s="31"/>
      <c r="I1116" s="7">
        <v>16877.599999999999</v>
      </c>
      <c r="J1116" s="7">
        <f>H1116+I1116</f>
        <v>16877.599999999999</v>
      </c>
      <c r="K1116" s="7"/>
      <c r="L1116" s="7">
        <f>J1116+K1116</f>
        <v>16877.599999999999</v>
      </c>
      <c r="M1116" s="7">
        <v>358.3</v>
      </c>
      <c r="N1116" s="7">
        <v>17235.900000000001</v>
      </c>
      <c r="O1116" s="7">
        <v>17235.900000000001</v>
      </c>
      <c r="P1116" s="349">
        <v>17235.900000000001</v>
      </c>
      <c r="Q1116" s="257">
        <v>100</v>
      </c>
    </row>
    <row r="1117" spans="1:17" s="21" customFormat="1" ht="31.5">
      <c r="A1117" s="26" t="s">
        <v>453</v>
      </c>
      <c r="B1117" s="27" t="s">
        <v>507</v>
      </c>
      <c r="C1117" s="27" t="s">
        <v>56</v>
      </c>
      <c r="D1117" s="27"/>
      <c r="E1117" s="27"/>
      <c r="F1117" s="27"/>
      <c r="G1117" s="28"/>
      <c r="H1117" s="60" t="e">
        <f t="shared" ref="H1117:M1117" si="442">H1118</f>
        <v>#REF!</v>
      </c>
      <c r="I1117" s="60" t="e">
        <f t="shared" si="442"/>
        <v>#REF!</v>
      </c>
      <c r="J1117" s="60" t="e">
        <f t="shared" si="442"/>
        <v>#REF!</v>
      </c>
      <c r="K1117" s="60" t="e">
        <f t="shared" si="442"/>
        <v>#REF!</v>
      </c>
      <c r="L1117" s="60" t="e">
        <f t="shared" si="442"/>
        <v>#REF!</v>
      </c>
      <c r="M1117" s="60" t="e">
        <f t="shared" si="442"/>
        <v>#REF!</v>
      </c>
      <c r="N1117" s="60">
        <v>3850</v>
      </c>
      <c r="O1117" s="74">
        <v>3850</v>
      </c>
      <c r="P1117" s="352">
        <v>3850</v>
      </c>
      <c r="Q1117" s="256">
        <v>100</v>
      </c>
    </row>
    <row r="1118" spans="1:17" s="21" customFormat="1" ht="31.5">
      <c r="A1118" s="26" t="s">
        <v>689</v>
      </c>
      <c r="B1118" s="27" t="s">
        <v>507</v>
      </c>
      <c r="C1118" s="27" t="s">
        <v>56</v>
      </c>
      <c r="D1118" s="27" t="s">
        <v>16</v>
      </c>
      <c r="E1118" s="27"/>
      <c r="F1118" s="27"/>
      <c r="G1118" s="28"/>
      <c r="H1118" s="60" t="e">
        <f>#REF!</f>
        <v>#REF!</v>
      </c>
      <c r="I1118" s="60" t="e">
        <f>#REF!+I1121</f>
        <v>#REF!</v>
      </c>
      <c r="J1118" s="60" t="e">
        <f>#REF!+J1121+J1119</f>
        <v>#REF!</v>
      </c>
      <c r="K1118" s="60" t="e">
        <f>#REF!+K1121+K1119</f>
        <v>#REF!</v>
      </c>
      <c r="L1118" s="60" t="e">
        <f>#REF!+L1121+L1119</f>
        <v>#REF!</v>
      </c>
      <c r="M1118" s="60" t="e">
        <f>#REF!+M1121+M1119</f>
        <v>#REF!</v>
      </c>
      <c r="N1118" s="60">
        <v>3850</v>
      </c>
      <c r="O1118" s="74">
        <v>3850</v>
      </c>
      <c r="P1118" s="352">
        <v>3850</v>
      </c>
      <c r="Q1118" s="256">
        <v>100</v>
      </c>
    </row>
    <row r="1119" spans="1:17" s="21" customFormat="1" ht="31.5">
      <c r="A1119" s="32" t="s">
        <v>984</v>
      </c>
      <c r="B1119" s="10" t="s">
        <v>507</v>
      </c>
      <c r="C1119" s="10" t="s">
        <v>56</v>
      </c>
      <c r="D1119" s="10" t="s">
        <v>16</v>
      </c>
      <c r="E1119" s="10" t="s">
        <v>985</v>
      </c>
      <c r="F1119" s="10"/>
      <c r="G1119" s="11"/>
      <c r="H1119" s="31"/>
      <c r="I1119" s="31"/>
      <c r="J1119" s="31">
        <f t="shared" ref="J1119:M1119" si="443">J1120</f>
        <v>0</v>
      </c>
      <c r="K1119" s="31">
        <f t="shared" si="443"/>
        <v>850</v>
      </c>
      <c r="L1119" s="31">
        <f t="shared" si="443"/>
        <v>850</v>
      </c>
      <c r="M1119" s="31">
        <f t="shared" si="443"/>
        <v>0</v>
      </c>
      <c r="N1119" s="31">
        <v>850</v>
      </c>
      <c r="O1119" s="36">
        <v>850</v>
      </c>
      <c r="P1119" s="350">
        <v>850</v>
      </c>
      <c r="Q1119" s="257">
        <v>100</v>
      </c>
    </row>
    <row r="1120" spans="1:17" s="21" customFormat="1" ht="47.25">
      <c r="A1120" s="8" t="s">
        <v>438</v>
      </c>
      <c r="B1120" s="10" t="s">
        <v>507</v>
      </c>
      <c r="C1120" s="10" t="s">
        <v>56</v>
      </c>
      <c r="D1120" s="10" t="s">
        <v>16</v>
      </c>
      <c r="E1120" s="10" t="s">
        <v>985</v>
      </c>
      <c r="F1120" s="10" t="s">
        <v>385</v>
      </c>
      <c r="G1120" s="11"/>
      <c r="H1120" s="31"/>
      <c r="I1120" s="31"/>
      <c r="J1120" s="31"/>
      <c r="K1120" s="31">
        <v>850</v>
      </c>
      <c r="L1120" s="31">
        <f>J1120+K1120</f>
        <v>850</v>
      </c>
      <c r="M1120" s="31"/>
      <c r="N1120" s="31">
        <v>850</v>
      </c>
      <c r="O1120" s="7">
        <v>850</v>
      </c>
      <c r="P1120" s="349">
        <v>850</v>
      </c>
      <c r="Q1120" s="257">
        <v>100</v>
      </c>
    </row>
    <row r="1121" spans="1:17" s="21" customFormat="1">
      <c r="A1121" s="8" t="s">
        <v>17</v>
      </c>
      <c r="B1121" s="10" t="s">
        <v>507</v>
      </c>
      <c r="C1121" s="10" t="s">
        <v>56</v>
      </c>
      <c r="D1121" s="10" t="s">
        <v>16</v>
      </c>
      <c r="E1121" s="10" t="s">
        <v>18</v>
      </c>
      <c r="F1121" s="10"/>
      <c r="G1121" s="11"/>
      <c r="H1121" s="31">
        <f>H1122</f>
        <v>0</v>
      </c>
      <c r="I1121" s="36">
        <f t="shared" ref="I1121:M1123" si="444">I1122</f>
        <v>2500</v>
      </c>
      <c r="J1121" s="36">
        <f t="shared" si="444"/>
        <v>2500</v>
      </c>
      <c r="K1121" s="36">
        <f t="shared" si="444"/>
        <v>500</v>
      </c>
      <c r="L1121" s="36">
        <f t="shared" si="444"/>
        <v>3000</v>
      </c>
      <c r="M1121" s="36">
        <f t="shared" si="444"/>
        <v>0</v>
      </c>
      <c r="N1121" s="36">
        <v>3000</v>
      </c>
      <c r="O1121" s="36">
        <v>3000</v>
      </c>
      <c r="P1121" s="350">
        <v>3000</v>
      </c>
      <c r="Q1121" s="257">
        <v>100</v>
      </c>
    </row>
    <row r="1122" spans="1:17" s="21" customFormat="1" ht="47.25">
      <c r="A1122" s="9" t="s">
        <v>221</v>
      </c>
      <c r="B1122" s="10" t="s">
        <v>507</v>
      </c>
      <c r="C1122" s="10" t="s">
        <v>56</v>
      </c>
      <c r="D1122" s="10" t="s">
        <v>16</v>
      </c>
      <c r="E1122" s="10" t="s">
        <v>222</v>
      </c>
      <c r="F1122" s="10"/>
      <c r="G1122" s="11"/>
      <c r="H1122" s="31">
        <f>H1123</f>
        <v>0</v>
      </c>
      <c r="I1122" s="36">
        <f t="shared" si="444"/>
        <v>2500</v>
      </c>
      <c r="J1122" s="36">
        <f t="shared" si="444"/>
        <v>2500</v>
      </c>
      <c r="K1122" s="36">
        <f t="shared" si="444"/>
        <v>500</v>
      </c>
      <c r="L1122" s="36">
        <f t="shared" si="444"/>
        <v>3000</v>
      </c>
      <c r="M1122" s="36">
        <f t="shared" si="444"/>
        <v>0</v>
      </c>
      <c r="N1122" s="36">
        <v>3000</v>
      </c>
      <c r="O1122" s="36">
        <v>3000</v>
      </c>
      <c r="P1122" s="350">
        <v>3000</v>
      </c>
      <c r="Q1122" s="257">
        <v>100</v>
      </c>
    </row>
    <row r="1123" spans="1:17" s="21" customFormat="1" ht="31.5">
      <c r="A1123" s="9" t="s">
        <v>877</v>
      </c>
      <c r="B1123" s="10" t="s">
        <v>507</v>
      </c>
      <c r="C1123" s="10" t="s">
        <v>56</v>
      </c>
      <c r="D1123" s="10" t="s">
        <v>16</v>
      </c>
      <c r="E1123" s="10" t="s">
        <v>588</v>
      </c>
      <c r="F1123" s="10"/>
      <c r="G1123" s="11"/>
      <c r="H1123" s="31">
        <f>H1124</f>
        <v>0</v>
      </c>
      <c r="I1123" s="36">
        <f t="shared" si="444"/>
        <v>2500</v>
      </c>
      <c r="J1123" s="36">
        <f t="shared" si="444"/>
        <v>2500</v>
      </c>
      <c r="K1123" s="36">
        <f t="shared" si="444"/>
        <v>500</v>
      </c>
      <c r="L1123" s="36">
        <f t="shared" si="444"/>
        <v>3000</v>
      </c>
      <c r="M1123" s="36">
        <f t="shared" si="444"/>
        <v>0</v>
      </c>
      <c r="N1123" s="36">
        <v>3000</v>
      </c>
      <c r="O1123" s="36">
        <v>3000</v>
      </c>
      <c r="P1123" s="350">
        <v>3000</v>
      </c>
      <c r="Q1123" s="257">
        <v>100</v>
      </c>
    </row>
    <row r="1124" spans="1:17" s="21" customFormat="1" ht="47.25">
      <c r="A1124" s="8" t="s">
        <v>438</v>
      </c>
      <c r="B1124" s="10" t="s">
        <v>507</v>
      </c>
      <c r="C1124" s="10" t="s">
        <v>56</v>
      </c>
      <c r="D1124" s="10" t="s">
        <v>16</v>
      </c>
      <c r="E1124" s="10" t="s">
        <v>588</v>
      </c>
      <c r="F1124" s="10" t="s">
        <v>385</v>
      </c>
      <c r="G1124" s="11"/>
      <c r="H1124" s="31"/>
      <c r="I1124" s="7">
        <f>2000-500+1000</f>
        <v>2500</v>
      </c>
      <c r="J1124" s="7">
        <f>H1124+I1124</f>
        <v>2500</v>
      </c>
      <c r="K1124" s="7">
        <v>500</v>
      </c>
      <c r="L1124" s="7">
        <f>J1124+K1124</f>
        <v>3000</v>
      </c>
      <c r="M1124" s="7"/>
      <c r="N1124" s="7">
        <v>3000</v>
      </c>
      <c r="O1124" s="7">
        <v>3000</v>
      </c>
      <c r="P1124" s="349">
        <v>3000</v>
      </c>
      <c r="Q1124" s="257">
        <v>100</v>
      </c>
    </row>
    <row r="1125" spans="1:17" ht="47.25">
      <c r="A1125" s="26" t="s">
        <v>199</v>
      </c>
      <c r="B1125" s="27" t="s">
        <v>507</v>
      </c>
      <c r="C1125" s="73">
        <v>14</v>
      </c>
      <c r="D1125" s="27"/>
      <c r="E1125" s="66"/>
      <c r="F1125" s="78"/>
      <c r="G1125" s="28">
        <v>63021.2</v>
      </c>
      <c r="H1125" s="28">
        <v>66412</v>
      </c>
      <c r="I1125" s="29" t="e">
        <f t="shared" ref="I1125:M1128" si="445">I1126</f>
        <v>#REF!</v>
      </c>
      <c r="J1125" s="29">
        <f t="shared" si="445"/>
        <v>3512</v>
      </c>
      <c r="K1125" s="29">
        <f t="shared" si="445"/>
        <v>0</v>
      </c>
      <c r="L1125" s="29">
        <f t="shared" si="445"/>
        <v>3512</v>
      </c>
      <c r="M1125" s="29">
        <f t="shared" si="445"/>
        <v>0</v>
      </c>
      <c r="N1125" s="29">
        <v>3512</v>
      </c>
      <c r="O1125" s="29">
        <v>3512</v>
      </c>
      <c r="P1125" s="348">
        <v>3512</v>
      </c>
      <c r="Q1125" s="256">
        <v>100</v>
      </c>
    </row>
    <row r="1126" spans="1:17">
      <c r="A1126" s="26" t="s">
        <v>215</v>
      </c>
      <c r="B1126" s="27" t="s">
        <v>507</v>
      </c>
      <c r="C1126" s="73">
        <v>14</v>
      </c>
      <c r="D1126" s="27" t="s">
        <v>28</v>
      </c>
      <c r="E1126" s="66"/>
      <c r="F1126" s="78"/>
      <c r="G1126" s="28">
        <v>63021.2</v>
      </c>
      <c r="H1126" s="28">
        <v>66412</v>
      </c>
      <c r="I1126" s="29" t="e">
        <f t="shared" si="445"/>
        <v>#REF!</v>
      </c>
      <c r="J1126" s="29">
        <f t="shared" si="445"/>
        <v>3512</v>
      </c>
      <c r="K1126" s="29">
        <f t="shared" si="445"/>
        <v>0</v>
      </c>
      <c r="L1126" s="29">
        <f t="shared" si="445"/>
        <v>3512</v>
      </c>
      <c r="M1126" s="29">
        <f t="shared" si="445"/>
        <v>0</v>
      </c>
      <c r="N1126" s="29">
        <v>3512</v>
      </c>
      <c r="O1126" s="29">
        <v>3512</v>
      </c>
      <c r="P1126" s="348">
        <v>3512</v>
      </c>
      <c r="Q1126" s="256">
        <v>100</v>
      </c>
    </row>
    <row r="1127" spans="1:17" s="12" customFormat="1">
      <c r="A1127" s="8" t="s">
        <v>17</v>
      </c>
      <c r="B1127" s="10" t="s">
        <v>507</v>
      </c>
      <c r="C1127" s="57">
        <v>14</v>
      </c>
      <c r="D1127" s="10" t="s">
        <v>28</v>
      </c>
      <c r="E1127" s="10" t="s">
        <v>18</v>
      </c>
      <c r="F1127" s="41"/>
      <c r="G1127" s="11">
        <v>63021.2</v>
      </c>
      <c r="H1127" s="11">
        <v>66412</v>
      </c>
      <c r="I1127" s="7" t="e">
        <f>I1128+#REF!</f>
        <v>#REF!</v>
      </c>
      <c r="J1127" s="7">
        <f t="shared" si="445"/>
        <v>3512</v>
      </c>
      <c r="K1127" s="7">
        <f t="shared" si="445"/>
        <v>0</v>
      </c>
      <c r="L1127" s="7">
        <f t="shared" si="445"/>
        <v>3512</v>
      </c>
      <c r="M1127" s="7">
        <f t="shared" si="445"/>
        <v>0</v>
      </c>
      <c r="N1127" s="7">
        <v>3512</v>
      </c>
      <c r="O1127" s="7">
        <v>3512</v>
      </c>
      <c r="P1127" s="349">
        <v>3512</v>
      </c>
      <c r="Q1127" s="257">
        <v>100</v>
      </c>
    </row>
    <row r="1128" spans="1:17" s="21" customFormat="1" ht="47.25">
      <c r="A1128" s="8" t="s">
        <v>221</v>
      </c>
      <c r="B1128" s="10" t="s">
        <v>507</v>
      </c>
      <c r="C1128" s="57">
        <v>14</v>
      </c>
      <c r="D1128" s="10" t="s">
        <v>28</v>
      </c>
      <c r="E1128" s="10" t="s">
        <v>222</v>
      </c>
      <c r="F1128" s="41"/>
      <c r="G1128" s="11">
        <v>38021.199999999997</v>
      </c>
      <c r="H1128" s="11">
        <v>41412</v>
      </c>
      <c r="I1128" s="7" t="e">
        <f>I1129+#REF!</f>
        <v>#REF!</v>
      </c>
      <c r="J1128" s="7">
        <f t="shared" si="445"/>
        <v>3512</v>
      </c>
      <c r="K1128" s="7">
        <f t="shared" si="445"/>
        <v>0</v>
      </c>
      <c r="L1128" s="7">
        <f t="shared" si="445"/>
        <v>3512</v>
      </c>
      <c r="M1128" s="7">
        <f t="shared" si="445"/>
        <v>0</v>
      </c>
      <c r="N1128" s="7">
        <v>3512</v>
      </c>
      <c r="O1128" s="7">
        <v>3512</v>
      </c>
      <c r="P1128" s="349">
        <v>3512</v>
      </c>
      <c r="Q1128" s="257">
        <v>100</v>
      </c>
    </row>
    <row r="1129" spans="1:17" s="21" customFormat="1" ht="31.5">
      <c r="A1129" s="8" t="s">
        <v>223</v>
      </c>
      <c r="B1129" s="10" t="s">
        <v>507</v>
      </c>
      <c r="C1129" s="57">
        <v>14</v>
      </c>
      <c r="D1129" s="10" t="s">
        <v>28</v>
      </c>
      <c r="E1129" s="10" t="s">
        <v>224</v>
      </c>
      <c r="F1129" s="41"/>
      <c r="G1129" s="11">
        <v>121.2</v>
      </c>
      <c r="H1129" s="11">
        <v>3512</v>
      </c>
      <c r="I1129" s="7">
        <f t="shared" ref="I1129:M1129" si="446">I1130</f>
        <v>0</v>
      </c>
      <c r="J1129" s="7">
        <f t="shared" si="446"/>
        <v>3512</v>
      </c>
      <c r="K1129" s="7">
        <f t="shared" si="446"/>
        <v>0</v>
      </c>
      <c r="L1129" s="7">
        <f t="shared" si="446"/>
        <v>3512</v>
      </c>
      <c r="M1129" s="7">
        <f t="shared" si="446"/>
        <v>0</v>
      </c>
      <c r="N1129" s="7">
        <v>3512</v>
      </c>
      <c r="O1129" s="7">
        <v>3512</v>
      </c>
      <c r="P1129" s="349">
        <v>3512</v>
      </c>
      <c r="Q1129" s="257">
        <v>100</v>
      </c>
    </row>
    <row r="1130" spans="1:17" s="21" customFormat="1" ht="47.25">
      <c r="A1130" s="8" t="s">
        <v>438</v>
      </c>
      <c r="B1130" s="10" t="s">
        <v>507</v>
      </c>
      <c r="C1130" s="57">
        <v>14</v>
      </c>
      <c r="D1130" s="10" t="s">
        <v>28</v>
      </c>
      <c r="E1130" s="10" t="s">
        <v>224</v>
      </c>
      <c r="F1130" s="10" t="s">
        <v>385</v>
      </c>
      <c r="G1130" s="11">
        <v>121.2</v>
      </c>
      <c r="H1130" s="31">
        <v>3512</v>
      </c>
      <c r="I1130" s="7"/>
      <c r="J1130" s="7">
        <f>H1130+I1130</f>
        <v>3512</v>
      </c>
      <c r="K1130" s="7"/>
      <c r="L1130" s="7">
        <f>J1130+K1130</f>
        <v>3512</v>
      </c>
      <c r="M1130" s="7"/>
      <c r="N1130" s="7">
        <v>3512</v>
      </c>
      <c r="O1130" s="7">
        <v>3512</v>
      </c>
      <c r="P1130" s="349">
        <v>3512</v>
      </c>
      <c r="Q1130" s="257">
        <v>100</v>
      </c>
    </row>
    <row r="1131" spans="1:17">
      <c r="A1131" s="410" t="s">
        <v>233</v>
      </c>
      <c r="B1131" s="411"/>
      <c r="C1131" s="411"/>
      <c r="D1131" s="411"/>
      <c r="E1131" s="411"/>
      <c r="F1131" s="411"/>
      <c r="G1131" s="28">
        <v>1867.5</v>
      </c>
      <c r="H1131" s="28">
        <v>4789.5</v>
      </c>
      <c r="I1131" s="29">
        <f t="shared" ref="I1131:M1133" si="447">I1132</f>
        <v>0</v>
      </c>
      <c r="J1131" s="29">
        <f t="shared" si="447"/>
        <v>4789.5</v>
      </c>
      <c r="K1131" s="29">
        <f t="shared" si="447"/>
        <v>336.2</v>
      </c>
      <c r="L1131" s="29">
        <f t="shared" si="447"/>
        <v>5125.7</v>
      </c>
      <c r="M1131" s="29">
        <f t="shared" si="447"/>
        <v>0</v>
      </c>
      <c r="N1131" s="29">
        <v>5125.7</v>
      </c>
      <c r="O1131" s="29">
        <v>5125.7</v>
      </c>
      <c r="P1131" s="348">
        <v>5125.7</v>
      </c>
      <c r="Q1131" s="256">
        <v>100</v>
      </c>
    </row>
    <row r="1132" spans="1:17" s="30" customFormat="1">
      <c r="A1132" s="26" t="s">
        <v>137</v>
      </c>
      <c r="B1132" s="27" t="s">
        <v>508</v>
      </c>
      <c r="C1132" s="27" t="s">
        <v>31</v>
      </c>
      <c r="D1132" s="27"/>
      <c r="E1132" s="73"/>
      <c r="F1132" s="27"/>
      <c r="G1132" s="28">
        <v>1867.5</v>
      </c>
      <c r="H1132" s="28">
        <v>4789.5</v>
      </c>
      <c r="I1132" s="29">
        <f t="shared" si="447"/>
        <v>0</v>
      </c>
      <c r="J1132" s="29">
        <f t="shared" si="447"/>
        <v>4789.5</v>
      </c>
      <c r="K1132" s="29">
        <f t="shared" si="447"/>
        <v>336.2</v>
      </c>
      <c r="L1132" s="29">
        <f t="shared" si="447"/>
        <v>5125.7</v>
      </c>
      <c r="M1132" s="29">
        <f t="shared" si="447"/>
        <v>0</v>
      </c>
      <c r="N1132" s="29">
        <v>5125.7</v>
      </c>
      <c r="O1132" s="29">
        <v>5125.7</v>
      </c>
      <c r="P1132" s="348">
        <v>5125.7</v>
      </c>
      <c r="Q1132" s="256">
        <v>100</v>
      </c>
    </row>
    <row r="1133" spans="1:17" s="30" customFormat="1" ht="31.5">
      <c r="A1133" s="26" t="s">
        <v>225</v>
      </c>
      <c r="B1133" s="27" t="s">
        <v>508</v>
      </c>
      <c r="C1133" s="27" t="s">
        <v>31</v>
      </c>
      <c r="D1133" s="27" t="s">
        <v>31</v>
      </c>
      <c r="E1133" s="73"/>
      <c r="F1133" s="27"/>
      <c r="G1133" s="28">
        <v>1867.5</v>
      </c>
      <c r="H1133" s="28">
        <v>4789.5</v>
      </c>
      <c r="I1133" s="29">
        <f t="shared" si="447"/>
        <v>0</v>
      </c>
      <c r="J1133" s="29">
        <f t="shared" si="447"/>
        <v>4789.5</v>
      </c>
      <c r="K1133" s="29">
        <f t="shared" si="447"/>
        <v>336.2</v>
      </c>
      <c r="L1133" s="29">
        <f t="shared" si="447"/>
        <v>5125.7</v>
      </c>
      <c r="M1133" s="29">
        <f t="shared" si="447"/>
        <v>0</v>
      </c>
      <c r="N1133" s="29">
        <v>5125.7</v>
      </c>
      <c r="O1133" s="29">
        <v>5125.7</v>
      </c>
      <c r="P1133" s="348">
        <v>5125.7</v>
      </c>
      <c r="Q1133" s="256">
        <v>100</v>
      </c>
    </row>
    <row r="1134" spans="1:17" s="12" customFormat="1">
      <c r="A1134" s="8" t="s">
        <v>42</v>
      </c>
      <c r="B1134" s="10" t="s">
        <v>508</v>
      </c>
      <c r="C1134" s="10" t="s">
        <v>31</v>
      </c>
      <c r="D1134" s="10" t="s">
        <v>31</v>
      </c>
      <c r="E1134" s="41" t="s">
        <v>43</v>
      </c>
      <c r="F1134" s="10"/>
      <c r="G1134" s="11">
        <v>1867.5</v>
      </c>
      <c r="H1134" s="11">
        <v>4789.5</v>
      </c>
      <c r="I1134" s="7">
        <f t="shared" ref="I1134:M1134" si="448">I1135+I1136+I1137+I1138+I1139+I1140</f>
        <v>0</v>
      </c>
      <c r="J1134" s="7">
        <f t="shared" si="448"/>
        <v>4789.5</v>
      </c>
      <c r="K1134" s="7">
        <f t="shared" si="448"/>
        <v>336.2</v>
      </c>
      <c r="L1134" s="7">
        <f t="shared" si="448"/>
        <v>5125.7</v>
      </c>
      <c r="M1134" s="7">
        <f t="shared" si="448"/>
        <v>0</v>
      </c>
      <c r="N1134" s="7">
        <v>5125.7</v>
      </c>
      <c r="O1134" s="7">
        <v>5125.7</v>
      </c>
      <c r="P1134" s="349">
        <v>5125.7</v>
      </c>
      <c r="Q1134" s="257">
        <v>100</v>
      </c>
    </row>
    <row r="1135" spans="1:17" s="12" customFormat="1">
      <c r="A1135" s="8" t="s">
        <v>337</v>
      </c>
      <c r="B1135" s="10" t="s">
        <v>508</v>
      </c>
      <c r="C1135" s="10" t="s">
        <v>31</v>
      </c>
      <c r="D1135" s="10" t="s">
        <v>31</v>
      </c>
      <c r="E1135" s="41" t="s">
        <v>43</v>
      </c>
      <c r="F1135" s="10" t="s">
        <v>331</v>
      </c>
      <c r="G1135" s="11">
        <v>1553.1</v>
      </c>
      <c r="H1135" s="31">
        <v>3803.1</v>
      </c>
      <c r="I1135" s="7"/>
      <c r="J1135" s="7">
        <f t="shared" ref="J1135:J1140" si="449">H1135+I1135</f>
        <v>3803.1</v>
      </c>
      <c r="K1135" s="7">
        <v>196.3</v>
      </c>
      <c r="L1135" s="7">
        <f t="shared" ref="L1135:L1140" si="450">J1135+K1135</f>
        <v>3999.4</v>
      </c>
      <c r="M1135" s="7"/>
      <c r="N1135" s="7">
        <v>3999.4</v>
      </c>
      <c r="O1135" s="7">
        <v>3999.4</v>
      </c>
      <c r="P1135" s="349">
        <v>3999.4</v>
      </c>
      <c r="Q1135" s="257">
        <v>100</v>
      </c>
    </row>
    <row r="1136" spans="1:17" s="12" customFormat="1">
      <c r="A1136" s="8" t="s">
        <v>356</v>
      </c>
      <c r="B1136" s="10" t="s">
        <v>508</v>
      </c>
      <c r="C1136" s="10" t="s">
        <v>31</v>
      </c>
      <c r="D1136" s="10" t="s">
        <v>31</v>
      </c>
      <c r="E1136" s="41" t="s">
        <v>43</v>
      </c>
      <c r="F1136" s="10" t="s">
        <v>332</v>
      </c>
      <c r="G1136" s="11">
        <v>4</v>
      </c>
      <c r="H1136" s="31">
        <v>14</v>
      </c>
      <c r="I1136" s="7">
        <v>25</v>
      </c>
      <c r="J1136" s="7">
        <f t="shared" si="449"/>
        <v>39</v>
      </c>
      <c r="K1136" s="7"/>
      <c r="L1136" s="7">
        <f t="shared" si="450"/>
        <v>39</v>
      </c>
      <c r="M1136" s="7">
        <v>-16.399999999999999</v>
      </c>
      <c r="N1136" s="7">
        <v>22.6</v>
      </c>
      <c r="O1136" s="7">
        <v>22.6</v>
      </c>
      <c r="P1136" s="349">
        <v>22.6</v>
      </c>
      <c r="Q1136" s="257">
        <v>100</v>
      </c>
    </row>
    <row r="1137" spans="1:17" s="12" customFormat="1" ht="31.5">
      <c r="A1137" s="8" t="s">
        <v>361</v>
      </c>
      <c r="B1137" s="10" t="s">
        <v>508</v>
      </c>
      <c r="C1137" s="10" t="s">
        <v>31</v>
      </c>
      <c r="D1137" s="10" t="s">
        <v>31</v>
      </c>
      <c r="E1137" s="41" t="s">
        <v>43</v>
      </c>
      <c r="F1137" s="10" t="s">
        <v>333</v>
      </c>
      <c r="G1137" s="11">
        <v>8.4</v>
      </c>
      <c r="H1137" s="31">
        <v>245.4</v>
      </c>
      <c r="I1137" s="7"/>
      <c r="J1137" s="7">
        <f t="shared" si="449"/>
        <v>245.4</v>
      </c>
      <c r="K1137" s="7">
        <f>40+17.8</f>
        <v>57.8</v>
      </c>
      <c r="L1137" s="7">
        <f t="shared" si="450"/>
        <v>303.2</v>
      </c>
      <c r="M1137" s="7">
        <v>14.4</v>
      </c>
      <c r="N1137" s="7">
        <v>317.60000000000002</v>
      </c>
      <c r="O1137" s="7">
        <v>317.60000000000002</v>
      </c>
      <c r="P1137" s="349">
        <v>317.60000000000002</v>
      </c>
      <c r="Q1137" s="257">
        <v>100</v>
      </c>
    </row>
    <row r="1138" spans="1:17" s="12" customFormat="1">
      <c r="A1138" s="8" t="s">
        <v>362</v>
      </c>
      <c r="B1138" s="10" t="s">
        <v>508</v>
      </c>
      <c r="C1138" s="10" t="s">
        <v>31</v>
      </c>
      <c r="D1138" s="10" t="s">
        <v>31</v>
      </c>
      <c r="E1138" s="41" t="s">
        <v>43</v>
      </c>
      <c r="F1138" s="10" t="s">
        <v>334</v>
      </c>
      <c r="G1138" s="11">
        <v>304</v>
      </c>
      <c r="H1138" s="31">
        <v>717</v>
      </c>
      <c r="I1138" s="7">
        <v>-25</v>
      </c>
      <c r="J1138" s="7">
        <f t="shared" si="449"/>
        <v>692</v>
      </c>
      <c r="K1138" s="7">
        <f>99.9-17.8</f>
        <v>82.1</v>
      </c>
      <c r="L1138" s="7">
        <f t="shared" si="450"/>
        <v>774.1</v>
      </c>
      <c r="M1138" s="7">
        <v>5.7</v>
      </c>
      <c r="N1138" s="7">
        <v>779.8</v>
      </c>
      <c r="O1138" s="7">
        <v>779.8</v>
      </c>
      <c r="P1138" s="349">
        <v>779.8</v>
      </c>
      <c r="Q1138" s="257">
        <v>100</v>
      </c>
    </row>
    <row r="1139" spans="1:17" s="12" customFormat="1">
      <c r="A1139" s="8" t="s">
        <v>384</v>
      </c>
      <c r="B1139" s="10" t="s">
        <v>508</v>
      </c>
      <c r="C1139" s="10" t="s">
        <v>31</v>
      </c>
      <c r="D1139" s="10" t="s">
        <v>31</v>
      </c>
      <c r="E1139" s="41" t="s">
        <v>43</v>
      </c>
      <c r="F1139" s="10" t="s">
        <v>335</v>
      </c>
      <c r="G1139" s="11">
        <v>-1</v>
      </c>
      <c r="H1139" s="31">
        <v>4</v>
      </c>
      <c r="I1139" s="7"/>
      <c r="J1139" s="7">
        <f t="shared" si="449"/>
        <v>4</v>
      </c>
      <c r="K1139" s="7"/>
      <c r="L1139" s="7">
        <f t="shared" si="450"/>
        <v>4</v>
      </c>
      <c r="M1139" s="7">
        <v>-1.8</v>
      </c>
      <c r="N1139" s="7">
        <v>2.2000000000000002</v>
      </c>
      <c r="O1139" s="7">
        <v>2.2000000000000002</v>
      </c>
      <c r="P1139" s="349">
        <v>2.2000000000000002</v>
      </c>
      <c r="Q1139" s="257">
        <v>100</v>
      </c>
    </row>
    <row r="1140" spans="1:17" s="12" customFormat="1">
      <c r="A1140" s="8" t="s">
        <v>380</v>
      </c>
      <c r="B1140" s="10" t="s">
        <v>508</v>
      </c>
      <c r="C1140" s="10" t="s">
        <v>31</v>
      </c>
      <c r="D1140" s="10" t="s">
        <v>31</v>
      </c>
      <c r="E1140" s="41" t="s">
        <v>43</v>
      </c>
      <c r="F1140" s="10" t="s">
        <v>336</v>
      </c>
      <c r="G1140" s="11">
        <v>-1</v>
      </c>
      <c r="H1140" s="31">
        <v>6</v>
      </c>
      <c r="I1140" s="7"/>
      <c r="J1140" s="7">
        <f t="shared" si="449"/>
        <v>6</v>
      </c>
      <c r="K1140" s="7"/>
      <c r="L1140" s="7">
        <f t="shared" si="450"/>
        <v>6</v>
      </c>
      <c r="M1140" s="7">
        <v>-1.9</v>
      </c>
      <c r="N1140" s="7">
        <v>4.0999999999999996</v>
      </c>
      <c r="O1140" s="7">
        <v>4.0999999999999996</v>
      </c>
      <c r="P1140" s="349">
        <v>4.0999999999999996</v>
      </c>
      <c r="Q1140" s="257">
        <v>100</v>
      </c>
    </row>
    <row r="1141" spans="1:17" s="30" customFormat="1">
      <c r="A1141" s="408" t="s">
        <v>234</v>
      </c>
      <c r="B1141" s="409"/>
      <c r="C1141" s="409"/>
      <c r="D1141" s="409"/>
      <c r="E1141" s="409"/>
      <c r="F1141" s="409"/>
      <c r="G1141" s="28">
        <v>43352.7</v>
      </c>
      <c r="H1141" s="28">
        <v>101427.8</v>
      </c>
      <c r="I1141" s="29" t="e">
        <f>I1142+I1178+I1186+I1191</f>
        <v>#REF!</v>
      </c>
      <c r="J1141" s="29" t="e">
        <f>J1142+J1178+J1186+J1191+J1173</f>
        <v>#REF!</v>
      </c>
      <c r="K1141" s="29" t="e">
        <f>K1142+K1178+K1186+K1191+K1173</f>
        <v>#REF!</v>
      </c>
      <c r="L1141" s="29" t="e">
        <f>L1142+L1178+L1186+L1191+L1173</f>
        <v>#REF!</v>
      </c>
      <c r="M1141" s="29" t="e">
        <f>M1142+M1178+M1186+M1191+M1173</f>
        <v>#REF!</v>
      </c>
      <c r="N1141" s="29">
        <v>128727.8</v>
      </c>
      <c r="O1141" s="29">
        <v>128727.8</v>
      </c>
      <c r="P1141" s="348">
        <v>128356.4</v>
      </c>
      <c r="Q1141" s="256">
        <v>99.71</v>
      </c>
    </row>
    <row r="1142" spans="1:17" s="30" customFormat="1">
      <c r="A1142" s="26" t="s">
        <v>52</v>
      </c>
      <c r="B1142" s="27" t="s">
        <v>509</v>
      </c>
      <c r="C1142" s="27" t="s">
        <v>16</v>
      </c>
      <c r="D1142" s="27"/>
      <c r="E1142" s="27"/>
      <c r="F1142" s="27"/>
      <c r="G1142" s="28">
        <v>13018.2</v>
      </c>
      <c r="H1142" s="28">
        <v>52219.199999999997</v>
      </c>
      <c r="I1142" s="29" t="e">
        <f t="shared" ref="I1142:M1142" si="451">I1143</f>
        <v>#REF!</v>
      </c>
      <c r="J1142" s="29">
        <f t="shared" si="451"/>
        <v>71919.199999999997</v>
      </c>
      <c r="K1142" s="29" t="e">
        <f t="shared" si="451"/>
        <v>#REF!</v>
      </c>
      <c r="L1142" s="29" t="e">
        <f t="shared" si="451"/>
        <v>#REF!</v>
      </c>
      <c r="M1142" s="29" t="e">
        <f t="shared" si="451"/>
        <v>#REF!</v>
      </c>
      <c r="N1142" s="29">
        <v>72408.800000000003</v>
      </c>
      <c r="O1142" s="29">
        <v>72408.800000000003</v>
      </c>
      <c r="P1142" s="348">
        <v>72108.800000000003</v>
      </c>
      <c r="Q1142" s="256">
        <v>99.59</v>
      </c>
    </row>
    <row r="1143" spans="1:17" s="30" customFormat="1">
      <c r="A1143" s="26" t="s">
        <v>53</v>
      </c>
      <c r="B1143" s="27" t="s">
        <v>509</v>
      </c>
      <c r="C1143" s="27" t="s">
        <v>16</v>
      </c>
      <c r="D1143" s="27" t="s">
        <v>54</v>
      </c>
      <c r="E1143" s="27"/>
      <c r="F1143" s="27"/>
      <c r="G1143" s="28">
        <v>13018.2</v>
      </c>
      <c r="H1143" s="28">
        <v>52219.199999999997</v>
      </c>
      <c r="I1143" s="29" t="e">
        <f>I1144+I1155+I1164</f>
        <v>#REF!</v>
      </c>
      <c r="J1143" s="29">
        <f>J1144+J1155+J1164+J1152</f>
        <v>71919.199999999997</v>
      </c>
      <c r="K1143" s="29" t="e">
        <f>K1144+K1155+K1164+K1152</f>
        <v>#REF!</v>
      </c>
      <c r="L1143" s="29" t="e">
        <f>L1144+L1155+L1164+L1152</f>
        <v>#REF!</v>
      </c>
      <c r="M1143" s="29" t="e">
        <f>M1144+M1155+M1164+M1152</f>
        <v>#REF!</v>
      </c>
      <c r="N1143" s="29">
        <v>72408.800000000003</v>
      </c>
      <c r="O1143" s="29">
        <v>72408.800000000003</v>
      </c>
      <c r="P1143" s="348">
        <v>72108.800000000003</v>
      </c>
      <c r="Q1143" s="256">
        <v>99.59</v>
      </c>
    </row>
    <row r="1144" spans="1:17" s="12" customFormat="1" ht="47.25">
      <c r="A1144" s="8" t="s">
        <v>65</v>
      </c>
      <c r="B1144" s="10" t="s">
        <v>509</v>
      </c>
      <c r="C1144" s="10" t="s">
        <v>16</v>
      </c>
      <c r="D1144" s="10" t="s">
        <v>54</v>
      </c>
      <c r="E1144" s="41" t="s">
        <v>41</v>
      </c>
      <c r="F1144" s="10"/>
      <c r="G1144" s="11">
        <v>3129.8</v>
      </c>
      <c r="H1144" s="11">
        <v>30043.4</v>
      </c>
      <c r="I1144" s="7">
        <f t="shared" ref="I1144:M1144" si="452">I1145</f>
        <v>0</v>
      </c>
      <c r="J1144" s="7">
        <f t="shared" si="452"/>
        <v>30043.4</v>
      </c>
      <c r="K1144" s="7" t="e">
        <f t="shared" si="452"/>
        <v>#REF!</v>
      </c>
      <c r="L1144" s="7" t="e">
        <f t="shared" si="452"/>
        <v>#REF!</v>
      </c>
      <c r="M1144" s="7" t="e">
        <f t="shared" si="452"/>
        <v>#REF!</v>
      </c>
      <c r="N1144" s="7">
        <v>30233</v>
      </c>
      <c r="O1144" s="7">
        <v>30233</v>
      </c>
      <c r="P1144" s="349">
        <v>30017</v>
      </c>
      <c r="Q1144" s="257">
        <v>99.29</v>
      </c>
    </row>
    <row r="1145" spans="1:17" s="12" customFormat="1">
      <c r="A1145" s="8" t="s">
        <v>42</v>
      </c>
      <c r="B1145" s="10" t="s">
        <v>509</v>
      </c>
      <c r="C1145" s="10" t="s">
        <v>16</v>
      </c>
      <c r="D1145" s="10" t="s">
        <v>54</v>
      </c>
      <c r="E1145" s="41" t="s">
        <v>43</v>
      </c>
      <c r="F1145" s="10"/>
      <c r="G1145" s="11">
        <v>3129.8</v>
      </c>
      <c r="H1145" s="11">
        <v>30043.4</v>
      </c>
      <c r="I1145" s="7">
        <f>I1146+I1147+I1148+I1149+I1150+I1151</f>
        <v>0</v>
      </c>
      <c r="J1145" s="7">
        <f>J1146+J1147+J1148+J1149+J1150+J1151</f>
        <v>30043.4</v>
      </c>
      <c r="K1145" s="7" t="e">
        <f>K1146+K1147+K1148+K1149+K1150+K1151+#REF!</f>
        <v>#REF!</v>
      </c>
      <c r="L1145" s="7" t="e">
        <f>L1146+L1147+L1148+L1149+L1150+L1151+#REF!</f>
        <v>#REF!</v>
      </c>
      <c r="M1145" s="7" t="e">
        <f>M1146+M1147+M1148+M1149+M1150+M1151+#REF!</f>
        <v>#REF!</v>
      </c>
      <c r="N1145" s="7">
        <v>30233</v>
      </c>
      <c r="O1145" s="7">
        <v>30233</v>
      </c>
      <c r="P1145" s="349">
        <v>30017</v>
      </c>
      <c r="Q1145" s="257">
        <v>99.29</v>
      </c>
    </row>
    <row r="1146" spans="1:17" s="12" customFormat="1">
      <c r="A1146" s="8" t="s">
        <v>337</v>
      </c>
      <c r="B1146" s="10" t="s">
        <v>509</v>
      </c>
      <c r="C1146" s="10" t="s">
        <v>16</v>
      </c>
      <c r="D1146" s="10" t="s">
        <v>54</v>
      </c>
      <c r="E1146" s="41" t="s">
        <v>43</v>
      </c>
      <c r="F1146" s="10" t="s">
        <v>331</v>
      </c>
      <c r="G1146" s="11">
        <v>2479.4</v>
      </c>
      <c r="H1146" s="31">
        <v>24643.4</v>
      </c>
      <c r="I1146" s="7"/>
      <c r="J1146" s="7">
        <f t="shared" ref="J1146:J1151" si="453">H1146+I1146</f>
        <v>24643.4</v>
      </c>
      <c r="K1146" s="7">
        <v>608.5</v>
      </c>
      <c r="L1146" s="7">
        <f t="shared" ref="L1146:L1151" si="454">J1146+K1146</f>
        <v>25251.9</v>
      </c>
      <c r="M1146" s="7"/>
      <c r="N1146" s="7">
        <v>25251.9</v>
      </c>
      <c r="O1146" s="7">
        <v>25251.9</v>
      </c>
      <c r="P1146" s="349">
        <v>25106.799999999999</v>
      </c>
      <c r="Q1146" s="257">
        <v>99.43</v>
      </c>
    </row>
    <row r="1147" spans="1:17" s="12" customFormat="1">
      <c r="A1147" s="8" t="s">
        <v>356</v>
      </c>
      <c r="B1147" s="10" t="s">
        <v>509</v>
      </c>
      <c r="C1147" s="10" t="s">
        <v>16</v>
      </c>
      <c r="D1147" s="10" t="s">
        <v>54</v>
      </c>
      <c r="E1147" s="41" t="s">
        <v>43</v>
      </c>
      <c r="F1147" s="10" t="s">
        <v>332</v>
      </c>
      <c r="G1147" s="11">
        <v>690</v>
      </c>
      <c r="H1147" s="31">
        <v>810</v>
      </c>
      <c r="I1147" s="7"/>
      <c r="J1147" s="7">
        <f t="shared" si="453"/>
        <v>810</v>
      </c>
      <c r="K1147" s="7"/>
      <c r="L1147" s="7">
        <f t="shared" si="454"/>
        <v>810</v>
      </c>
      <c r="M1147" s="7"/>
      <c r="N1147" s="7">
        <v>810</v>
      </c>
      <c r="O1147" s="7">
        <v>810</v>
      </c>
      <c r="P1147" s="349">
        <v>796.3</v>
      </c>
      <c r="Q1147" s="257">
        <v>98.31</v>
      </c>
    </row>
    <row r="1148" spans="1:17" s="12" customFormat="1" ht="31.5">
      <c r="A1148" s="8" t="s">
        <v>361</v>
      </c>
      <c r="B1148" s="10" t="s">
        <v>509</v>
      </c>
      <c r="C1148" s="10" t="s">
        <v>16</v>
      </c>
      <c r="D1148" s="10" t="s">
        <v>54</v>
      </c>
      <c r="E1148" s="41" t="s">
        <v>43</v>
      </c>
      <c r="F1148" s="10" t="s">
        <v>333</v>
      </c>
      <c r="G1148" s="11">
        <v>350</v>
      </c>
      <c r="H1148" s="31">
        <v>600</v>
      </c>
      <c r="I1148" s="7"/>
      <c r="J1148" s="7">
        <f t="shared" si="453"/>
        <v>600</v>
      </c>
      <c r="K1148" s="7"/>
      <c r="L1148" s="7">
        <f t="shared" si="454"/>
        <v>600</v>
      </c>
      <c r="M1148" s="7"/>
      <c r="N1148" s="7">
        <v>600</v>
      </c>
      <c r="O1148" s="7">
        <v>600</v>
      </c>
      <c r="P1148" s="349">
        <v>598.70000000000005</v>
      </c>
      <c r="Q1148" s="257">
        <v>99.78</v>
      </c>
    </row>
    <row r="1149" spans="1:17" s="12" customFormat="1">
      <c r="A1149" s="8" t="s">
        <v>362</v>
      </c>
      <c r="B1149" s="10" t="s">
        <v>509</v>
      </c>
      <c r="C1149" s="10" t="s">
        <v>16</v>
      </c>
      <c r="D1149" s="10" t="s">
        <v>54</v>
      </c>
      <c r="E1149" s="41" t="s">
        <v>43</v>
      </c>
      <c r="F1149" s="10" t="s">
        <v>334</v>
      </c>
      <c r="G1149" s="11">
        <v>-214.5</v>
      </c>
      <c r="H1149" s="31">
        <v>3535.1</v>
      </c>
      <c r="I1149" s="7"/>
      <c r="J1149" s="7">
        <f t="shared" si="453"/>
        <v>3535.1</v>
      </c>
      <c r="K1149" s="7">
        <f>-11-193.9+11</f>
        <v>-193.9</v>
      </c>
      <c r="L1149" s="7">
        <f t="shared" si="454"/>
        <v>3341.2</v>
      </c>
      <c r="M1149" s="7"/>
      <c r="N1149" s="7">
        <v>3341.2</v>
      </c>
      <c r="O1149" s="7">
        <v>3341.2</v>
      </c>
      <c r="P1149" s="349">
        <v>3340.7</v>
      </c>
      <c r="Q1149" s="257">
        <v>99.99</v>
      </c>
    </row>
    <row r="1150" spans="1:17" s="12" customFormat="1">
      <c r="A1150" s="8" t="s">
        <v>384</v>
      </c>
      <c r="B1150" s="10" t="s">
        <v>509</v>
      </c>
      <c r="C1150" s="10" t="s">
        <v>16</v>
      </c>
      <c r="D1150" s="10" t="s">
        <v>54</v>
      </c>
      <c r="E1150" s="41" t="s">
        <v>43</v>
      </c>
      <c r="F1150" s="10" t="s">
        <v>335</v>
      </c>
      <c r="G1150" s="11">
        <v>-165.1</v>
      </c>
      <c r="H1150" s="31">
        <v>404.9</v>
      </c>
      <c r="I1150" s="7"/>
      <c r="J1150" s="7">
        <f t="shared" si="453"/>
        <v>404.9</v>
      </c>
      <c r="K1150" s="7">
        <v>-200</v>
      </c>
      <c r="L1150" s="7">
        <f t="shared" si="454"/>
        <v>204.9</v>
      </c>
      <c r="M1150" s="7"/>
      <c r="N1150" s="7">
        <v>204.9</v>
      </c>
      <c r="O1150" s="7">
        <v>204.9</v>
      </c>
      <c r="P1150" s="349">
        <v>162.4</v>
      </c>
      <c r="Q1150" s="257">
        <v>79.260000000000005</v>
      </c>
    </row>
    <row r="1151" spans="1:17" s="12" customFormat="1">
      <c r="A1151" s="8" t="s">
        <v>380</v>
      </c>
      <c r="B1151" s="10" t="s">
        <v>509</v>
      </c>
      <c r="C1151" s="10" t="s">
        <v>16</v>
      </c>
      <c r="D1151" s="10" t="s">
        <v>54</v>
      </c>
      <c r="E1151" s="41" t="s">
        <v>43</v>
      </c>
      <c r="F1151" s="10" t="s">
        <v>336</v>
      </c>
      <c r="G1151" s="11">
        <v>-10</v>
      </c>
      <c r="H1151" s="31">
        <v>50</v>
      </c>
      <c r="I1151" s="7"/>
      <c r="J1151" s="7">
        <f t="shared" si="453"/>
        <v>50</v>
      </c>
      <c r="K1151" s="7">
        <v>-25</v>
      </c>
      <c r="L1151" s="7">
        <f t="shared" si="454"/>
        <v>25</v>
      </c>
      <c r="M1151" s="7"/>
      <c r="N1151" s="7">
        <v>25</v>
      </c>
      <c r="O1151" s="7">
        <v>25</v>
      </c>
      <c r="P1151" s="349">
        <v>12.1</v>
      </c>
      <c r="Q1151" s="257">
        <v>48.4</v>
      </c>
    </row>
    <row r="1152" spans="1:17" s="12" customFormat="1">
      <c r="A1152" s="8" t="s">
        <v>311</v>
      </c>
      <c r="B1152" s="10" t="s">
        <v>509</v>
      </c>
      <c r="C1152" s="10" t="s">
        <v>16</v>
      </c>
      <c r="D1152" s="10" t="s">
        <v>54</v>
      </c>
      <c r="E1152" s="41" t="s">
        <v>312</v>
      </c>
      <c r="F1152" s="10"/>
      <c r="G1152" s="11"/>
      <c r="H1152" s="31"/>
      <c r="I1152" s="7"/>
      <c r="J1152" s="7">
        <f t="shared" ref="J1152:M1153" si="455">J1153</f>
        <v>0</v>
      </c>
      <c r="K1152" s="7">
        <f t="shared" si="455"/>
        <v>76.099999999999994</v>
      </c>
      <c r="L1152" s="7">
        <f t="shared" si="455"/>
        <v>76.099999999999994</v>
      </c>
      <c r="M1152" s="7">
        <f t="shared" si="455"/>
        <v>75.900000000000006</v>
      </c>
      <c r="N1152" s="7">
        <v>152</v>
      </c>
      <c r="O1152" s="7">
        <v>152</v>
      </c>
      <c r="P1152" s="349">
        <v>152</v>
      </c>
      <c r="Q1152" s="257">
        <v>100</v>
      </c>
    </row>
    <row r="1153" spans="1:17" s="12" customFormat="1" ht="47.25">
      <c r="A1153" s="33" t="s">
        <v>764</v>
      </c>
      <c r="B1153" s="10" t="s">
        <v>509</v>
      </c>
      <c r="C1153" s="10" t="s">
        <v>16</v>
      </c>
      <c r="D1153" s="10" t="s">
        <v>54</v>
      </c>
      <c r="E1153" s="41" t="s">
        <v>763</v>
      </c>
      <c r="F1153" s="10"/>
      <c r="G1153" s="11"/>
      <c r="H1153" s="31"/>
      <c r="I1153" s="7"/>
      <c r="J1153" s="7">
        <f t="shared" si="455"/>
        <v>0</v>
      </c>
      <c r="K1153" s="7">
        <f t="shared" si="455"/>
        <v>76.099999999999994</v>
      </c>
      <c r="L1153" s="7">
        <f t="shared" si="455"/>
        <v>76.099999999999994</v>
      </c>
      <c r="M1153" s="7">
        <f t="shared" si="455"/>
        <v>75.900000000000006</v>
      </c>
      <c r="N1153" s="7">
        <v>152</v>
      </c>
      <c r="O1153" s="7">
        <v>152</v>
      </c>
      <c r="P1153" s="349">
        <v>152</v>
      </c>
      <c r="Q1153" s="257">
        <v>100</v>
      </c>
    </row>
    <row r="1154" spans="1:17" s="12" customFormat="1">
      <c r="A1154" s="8" t="s">
        <v>337</v>
      </c>
      <c r="B1154" s="10" t="s">
        <v>509</v>
      </c>
      <c r="C1154" s="10" t="s">
        <v>16</v>
      </c>
      <c r="D1154" s="10" t="s">
        <v>54</v>
      </c>
      <c r="E1154" s="41" t="s">
        <v>763</v>
      </c>
      <c r="F1154" s="10" t="s">
        <v>331</v>
      </c>
      <c r="G1154" s="11"/>
      <c r="H1154" s="31"/>
      <c r="I1154" s="7"/>
      <c r="J1154" s="7"/>
      <c r="K1154" s="7">
        <f>10.5+25.9+39.7</f>
        <v>76.099999999999994</v>
      </c>
      <c r="L1154" s="7">
        <f>J1154+K1154</f>
        <v>76.099999999999994</v>
      </c>
      <c r="M1154" s="7">
        <f>38+37.9</f>
        <v>75.900000000000006</v>
      </c>
      <c r="N1154" s="7">
        <v>152</v>
      </c>
      <c r="O1154" s="7">
        <v>152</v>
      </c>
      <c r="P1154" s="349">
        <v>152</v>
      </c>
      <c r="Q1154" s="257">
        <v>100</v>
      </c>
    </row>
    <row r="1155" spans="1:17" s="12" customFormat="1">
      <c r="A1155" s="8" t="s">
        <v>17</v>
      </c>
      <c r="B1155" s="10" t="s">
        <v>509</v>
      </c>
      <c r="C1155" s="10" t="s">
        <v>16</v>
      </c>
      <c r="D1155" s="10" t="s">
        <v>54</v>
      </c>
      <c r="E1155" s="10" t="s">
        <v>18</v>
      </c>
      <c r="F1155" s="10"/>
      <c r="G1155" s="11">
        <v>3564.2</v>
      </c>
      <c r="H1155" s="11">
        <v>15851.6</v>
      </c>
      <c r="I1155" s="7" t="e">
        <f t="shared" ref="I1155:M1155" si="456">I1156+I1159</f>
        <v>#REF!</v>
      </c>
      <c r="J1155" s="7">
        <f t="shared" si="456"/>
        <v>35551.599999999999</v>
      </c>
      <c r="K1155" s="7">
        <f t="shared" si="456"/>
        <v>0</v>
      </c>
      <c r="L1155" s="7">
        <f t="shared" si="456"/>
        <v>35551.599999999999</v>
      </c>
      <c r="M1155" s="7">
        <f t="shared" si="456"/>
        <v>0</v>
      </c>
      <c r="N1155" s="7">
        <v>35551.599999999999</v>
      </c>
      <c r="O1155" s="7">
        <v>35551.599999999999</v>
      </c>
      <c r="P1155" s="349">
        <v>35487.4</v>
      </c>
      <c r="Q1155" s="257">
        <v>99.82</v>
      </c>
    </row>
    <row r="1156" spans="1:17" s="12" customFormat="1" ht="31.5">
      <c r="A1156" s="8" t="s">
        <v>227</v>
      </c>
      <c r="B1156" s="10" t="s">
        <v>509</v>
      </c>
      <c r="C1156" s="10" t="s">
        <v>16</v>
      </c>
      <c r="D1156" s="10" t="s">
        <v>54</v>
      </c>
      <c r="E1156" s="10" t="s">
        <v>228</v>
      </c>
      <c r="F1156" s="10"/>
      <c r="G1156" s="11">
        <v>250</v>
      </c>
      <c r="H1156" s="11">
        <v>250</v>
      </c>
      <c r="I1156" s="7" t="e">
        <f>I1157+#REF!+I1158</f>
        <v>#REF!</v>
      </c>
      <c r="J1156" s="7">
        <f t="shared" ref="J1156:M1156" si="457">J1157+J1158</f>
        <v>250</v>
      </c>
      <c r="K1156" s="7">
        <f t="shared" si="457"/>
        <v>0</v>
      </c>
      <c r="L1156" s="7">
        <f t="shared" si="457"/>
        <v>250</v>
      </c>
      <c r="M1156" s="7">
        <f t="shared" si="457"/>
        <v>0</v>
      </c>
      <c r="N1156" s="7">
        <v>250</v>
      </c>
      <c r="O1156" s="7">
        <v>250</v>
      </c>
      <c r="P1156" s="349">
        <v>246.5</v>
      </c>
      <c r="Q1156" s="257">
        <v>98.6</v>
      </c>
    </row>
    <row r="1157" spans="1:17" s="12" customFormat="1">
      <c r="A1157" s="8" t="s">
        <v>356</v>
      </c>
      <c r="B1157" s="10" t="s">
        <v>509</v>
      </c>
      <c r="C1157" s="10" t="s">
        <v>16</v>
      </c>
      <c r="D1157" s="10" t="s">
        <v>54</v>
      </c>
      <c r="E1157" s="10" t="s">
        <v>228</v>
      </c>
      <c r="F1157" s="10" t="s">
        <v>332</v>
      </c>
      <c r="G1157" s="11">
        <v>105.1</v>
      </c>
      <c r="H1157" s="31">
        <v>105.1</v>
      </c>
      <c r="I1157" s="7">
        <v>-43.2</v>
      </c>
      <c r="J1157" s="7">
        <f>H1157+I1157</f>
        <v>61.9</v>
      </c>
      <c r="K1157" s="7"/>
      <c r="L1157" s="7">
        <f>J1157+K1157</f>
        <v>61.9</v>
      </c>
      <c r="M1157" s="7"/>
      <c r="N1157" s="7">
        <v>61.9</v>
      </c>
      <c r="O1157" s="7">
        <v>61.9</v>
      </c>
      <c r="P1157" s="349">
        <v>59.2</v>
      </c>
      <c r="Q1157" s="257">
        <v>95.64</v>
      </c>
    </row>
    <row r="1158" spans="1:17" s="12" customFormat="1">
      <c r="A1158" s="8" t="s">
        <v>362</v>
      </c>
      <c r="B1158" s="10" t="s">
        <v>509</v>
      </c>
      <c r="C1158" s="10" t="s">
        <v>16</v>
      </c>
      <c r="D1158" s="10" t="s">
        <v>54</v>
      </c>
      <c r="E1158" s="10" t="s">
        <v>228</v>
      </c>
      <c r="F1158" s="10" t="s">
        <v>334</v>
      </c>
      <c r="G1158" s="11">
        <v>143.80000000000001</v>
      </c>
      <c r="H1158" s="31">
        <v>143.80000000000001</v>
      </c>
      <c r="I1158" s="7">
        <v>44.3</v>
      </c>
      <c r="J1158" s="7">
        <f>H1158+I1158</f>
        <v>188.1</v>
      </c>
      <c r="K1158" s="7"/>
      <c r="L1158" s="7">
        <f>J1158+K1158</f>
        <v>188.1</v>
      </c>
      <c r="M1158" s="7"/>
      <c r="N1158" s="7">
        <v>188.1</v>
      </c>
      <c r="O1158" s="7">
        <v>188.1</v>
      </c>
      <c r="P1158" s="349">
        <v>187.3</v>
      </c>
      <c r="Q1158" s="257">
        <v>99.57</v>
      </c>
    </row>
    <row r="1159" spans="1:17" s="12" customFormat="1" ht="94.5">
      <c r="A1159" s="8" t="s">
        <v>492</v>
      </c>
      <c r="B1159" s="10" t="s">
        <v>509</v>
      </c>
      <c r="C1159" s="10" t="s">
        <v>16</v>
      </c>
      <c r="D1159" s="10" t="s">
        <v>54</v>
      </c>
      <c r="E1159" s="10" t="s">
        <v>246</v>
      </c>
      <c r="F1159" s="10"/>
      <c r="G1159" s="11">
        <v>3314.2</v>
      </c>
      <c r="H1159" s="11">
        <v>15601.6</v>
      </c>
      <c r="I1159" s="7">
        <f t="shared" ref="I1159:M1159" si="458">I1160+I1161+I1162+I1163</f>
        <v>19700</v>
      </c>
      <c r="J1159" s="7">
        <f t="shared" si="458"/>
        <v>35301.599999999999</v>
      </c>
      <c r="K1159" s="7">
        <f t="shared" si="458"/>
        <v>0</v>
      </c>
      <c r="L1159" s="7">
        <f t="shared" si="458"/>
        <v>35301.599999999999</v>
      </c>
      <c r="M1159" s="7">
        <f t="shared" si="458"/>
        <v>0</v>
      </c>
      <c r="N1159" s="7">
        <v>35301.599999999999</v>
      </c>
      <c r="O1159" s="7">
        <v>35301.599999999999</v>
      </c>
      <c r="P1159" s="349">
        <v>35240.9</v>
      </c>
      <c r="Q1159" s="257">
        <v>99.83</v>
      </c>
    </row>
    <row r="1160" spans="1:17" s="12" customFormat="1">
      <c r="A1160" s="8" t="s">
        <v>356</v>
      </c>
      <c r="B1160" s="10" t="s">
        <v>509</v>
      </c>
      <c r="C1160" s="10" t="s">
        <v>16</v>
      </c>
      <c r="D1160" s="10" t="s">
        <v>54</v>
      </c>
      <c r="E1160" s="10" t="s">
        <v>246</v>
      </c>
      <c r="F1160" s="10" t="s">
        <v>332</v>
      </c>
      <c r="G1160" s="11">
        <v>313.5</v>
      </c>
      <c r="H1160" s="31">
        <v>313.5</v>
      </c>
      <c r="I1160" s="7"/>
      <c r="J1160" s="7">
        <f>H1160+I1160</f>
        <v>313.5</v>
      </c>
      <c r="K1160" s="7"/>
      <c r="L1160" s="7">
        <f>J1160+K1160</f>
        <v>313.5</v>
      </c>
      <c r="M1160" s="7">
        <v>-265.5</v>
      </c>
      <c r="N1160" s="7">
        <v>48</v>
      </c>
      <c r="O1160" s="7">
        <v>48</v>
      </c>
      <c r="P1160" s="349">
        <v>47.9</v>
      </c>
      <c r="Q1160" s="257">
        <v>99.79</v>
      </c>
    </row>
    <row r="1161" spans="1:17" s="12" customFormat="1">
      <c r="A1161" s="8" t="s">
        <v>546</v>
      </c>
      <c r="B1161" s="10" t="s">
        <v>509</v>
      </c>
      <c r="C1161" s="10" t="s">
        <v>16</v>
      </c>
      <c r="D1161" s="10" t="s">
        <v>54</v>
      </c>
      <c r="E1161" s="10" t="s">
        <v>246</v>
      </c>
      <c r="F1161" s="10" t="s">
        <v>374</v>
      </c>
      <c r="G1161" s="11">
        <v>200</v>
      </c>
      <c r="H1161" s="31">
        <v>200</v>
      </c>
      <c r="I1161" s="7"/>
      <c r="J1161" s="7">
        <f>H1161+I1161</f>
        <v>200</v>
      </c>
      <c r="K1161" s="7"/>
      <c r="L1161" s="7">
        <f>J1161+K1161</f>
        <v>200</v>
      </c>
      <c r="M1161" s="7"/>
      <c r="N1161" s="7">
        <v>200</v>
      </c>
      <c r="O1161" s="7">
        <v>200</v>
      </c>
      <c r="P1161" s="349">
        <v>191.3</v>
      </c>
      <c r="Q1161" s="257">
        <v>95.65</v>
      </c>
    </row>
    <row r="1162" spans="1:17" s="12" customFormat="1" ht="47.25">
      <c r="A1162" s="8" t="s">
        <v>382</v>
      </c>
      <c r="B1162" s="10" t="s">
        <v>509</v>
      </c>
      <c r="C1162" s="10" t="s">
        <v>16</v>
      </c>
      <c r="D1162" s="10" t="s">
        <v>54</v>
      </c>
      <c r="E1162" s="10" t="s">
        <v>246</v>
      </c>
      <c r="F1162" s="10" t="s">
        <v>355</v>
      </c>
      <c r="G1162" s="11">
        <v>2577.3000000000002</v>
      </c>
      <c r="H1162" s="31">
        <v>14864.7</v>
      </c>
      <c r="I1162" s="7">
        <v>9250</v>
      </c>
      <c r="J1162" s="7">
        <f>H1162+I1162</f>
        <v>24114.7</v>
      </c>
      <c r="K1162" s="7"/>
      <c r="L1162" s="7">
        <f>J1162+K1162</f>
        <v>24114.7</v>
      </c>
      <c r="M1162" s="7">
        <v>265.5</v>
      </c>
      <c r="N1162" s="7">
        <v>24380.2</v>
      </c>
      <c r="O1162" s="7">
        <v>24380.2</v>
      </c>
      <c r="P1162" s="349">
        <v>24380.2</v>
      </c>
      <c r="Q1162" s="257">
        <v>100</v>
      </c>
    </row>
    <row r="1163" spans="1:17" s="12" customFormat="1">
      <c r="A1163" s="8" t="s">
        <v>367</v>
      </c>
      <c r="B1163" s="10" t="s">
        <v>509</v>
      </c>
      <c r="C1163" s="10" t="s">
        <v>16</v>
      </c>
      <c r="D1163" s="10" t="s">
        <v>54</v>
      </c>
      <c r="E1163" s="10" t="s">
        <v>246</v>
      </c>
      <c r="F1163" s="10" t="s">
        <v>365</v>
      </c>
      <c r="G1163" s="11">
        <v>223.4</v>
      </c>
      <c r="H1163" s="31">
        <v>223.4</v>
      </c>
      <c r="I1163" s="7">
        <f>1500+8950</f>
        <v>10450</v>
      </c>
      <c r="J1163" s="7">
        <f>H1163+I1163</f>
        <v>10673.4</v>
      </c>
      <c r="K1163" s="7"/>
      <c r="L1163" s="7">
        <f>J1163+K1163</f>
        <v>10673.4</v>
      </c>
      <c r="M1163" s="7"/>
      <c r="N1163" s="7">
        <v>10673.4</v>
      </c>
      <c r="O1163" s="7">
        <v>10673.4</v>
      </c>
      <c r="P1163" s="349">
        <v>10621.5</v>
      </c>
      <c r="Q1163" s="257">
        <v>99.51</v>
      </c>
    </row>
    <row r="1164" spans="1:17" s="12" customFormat="1">
      <c r="A1164" s="8" t="s">
        <v>363</v>
      </c>
      <c r="B1164" s="10" t="s">
        <v>509</v>
      </c>
      <c r="C1164" s="10" t="s">
        <v>16</v>
      </c>
      <c r="D1164" s="10" t="s">
        <v>54</v>
      </c>
      <c r="E1164" s="10" t="s">
        <v>364</v>
      </c>
      <c r="F1164" s="10"/>
      <c r="G1164" s="11">
        <v>6324.2</v>
      </c>
      <c r="H1164" s="11">
        <v>6324.2</v>
      </c>
      <c r="I1164" s="7" t="e">
        <f t="shared" ref="I1164:M1164" si="459">I1165+I1170</f>
        <v>#REF!</v>
      </c>
      <c r="J1164" s="7">
        <f t="shared" si="459"/>
        <v>6324.2</v>
      </c>
      <c r="K1164" s="7">
        <f t="shared" si="459"/>
        <v>148</v>
      </c>
      <c r="L1164" s="7">
        <f t="shared" si="459"/>
        <v>6472.2</v>
      </c>
      <c r="M1164" s="7">
        <f t="shared" si="459"/>
        <v>0</v>
      </c>
      <c r="N1164" s="7">
        <v>6472.2</v>
      </c>
      <c r="O1164" s="7">
        <v>6472.2</v>
      </c>
      <c r="P1164" s="349">
        <v>6452.4</v>
      </c>
      <c r="Q1164" s="257">
        <v>99.69</v>
      </c>
    </row>
    <row r="1165" spans="1:17" s="12" customFormat="1" ht="47.25">
      <c r="A1165" s="8" t="s">
        <v>724</v>
      </c>
      <c r="B1165" s="10" t="s">
        <v>509</v>
      </c>
      <c r="C1165" s="10" t="s">
        <v>16</v>
      </c>
      <c r="D1165" s="10" t="s">
        <v>54</v>
      </c>
      <c r="E1165" s="34" t="s">
        <v>547</v>
      </c>
      <c r="F1165" s="10"/>
      <c r="G1165" s="11">
        <v>5724.2</v>
      </c>
      <c r="H1165" s="11">
        <v>5724.2</v>
      </c>
      <c r="I1165" s="7">
        <f t="shared" ref="I1165:M1165" si="460">I1166+I1167+I1168+I1169</f>
        <v>0</v>
      </c>
      <c r="J1165" s="7">
        <f t="shared" si="460"/>
        <v>5724.2</v>
      </c>
      <c r="K1165" s="7">
        <f t="shared" si="460"/>
        <v>49</v>
      </c>
      <c r="L1165" s="7">
        <f t="shared" si="460"/>
        <v>5773.2</v>
      </c>
      <c r="M1165" s="7">
        <f t="shared" si="460"/>
        <v>0</v>
      </c>
      <c r="N1165" s="7">
        <v>5773.2</v>
      </c>
      <c r="O1165" s="7">
        <v>5773.2</v>
      </c>
      <c r="P1165" s="349">
        <v>5758.4</v>
      </c>
      <c r="Q1165" s="257">
        <v>99.74</v>
      </c>
    </row>
    <row r="1166" spans="1:17" s="12" customFormat="1">
      <c r="A1166" s="8" t="s">
        <v>356</v>
      </c>
      <c r="B1166" s="10" t="s">
        <v>509</v>
      </c>
      <c r="C1166" s="10" t="s">
        <v>16</v>
      </c>
      <c r="D1166" s="10" t="s">
        <v>54</v>
      </c>
      <c r="E1166" s="34" t="s">
        <v>547</v>
      </c>
      <c r="F1166" s="10" t="s">
        <v>332</v>
      </c>
      <c r="G1166" s="11">
        <v>200</v>
      </c>
      <c r="H1166" s="31">
        <v>200</v>
      </c>
      <c r="I1166" s="7"/>
      <c r="J1166" s="7">
        <f>H1166+I1166</f>
        <v>200</v>
      </c>
      <c r="K1166" s="7"/>
      <c r="L1166" s="7">
        <f>J1166+K1166</f>
        <v>200</v>
      </c>
      <c r="M1166" s="7"/>
      <c r="N1166" s="7">
        <v>200</v>
      </c>
      <c r="O1166" s="7">
        <v>200</v>
      </c>
      <c r="P1166" s="349">
        <v>186.3</v>
      </c>
      <c r="Q1166" s="257">
        <v>93.15</v>
      </c>
    </row>
    <row r="1167" spans="1:17" s="12" customFormat="1">
      <c r="A1167" s="8" t="s">
        <v>546</v>
      </c>
      <c r="B1167" s="10" t="s">
        <v>509</v>
      </c>
      <c r="C1167" s="10" t="s">
        <v>16</v>
      </c>
      <c r="D1167" s="10" t="s">
        <v>54</v>
      </c>
      <c r="E1167" s="34" t="s">
        <v>547</v>
      </c>
      <c r="F1167" s="10" t="s">
        <v>374</v>
      </c>
      <c r="G1167" s="11">
        <v>4330</v>
      </c>
      <c r="H1167" s="31">
        <v>4330</v>
      </c>
      <c r="I1167" s="7"/>
      <c r="J1167" s="7">
        <f>H1167+I1167</f>
        <v>4330</v>
      </c>
      <c r="K1167" s="7"/>
      <c r="L1167" s="7">
        <f>J1167+K1167</f>
        <v>4330</v>
      </c>
      <c r="M1167" s="7"/>
      <c r="N1167" s="7">
        <v>4330</v>
      </c>
      <c r="O1167" s="7">
        <v>4330</v>
      </c>
      <c r="P1167" s="349">
        <v>4329</v>
      </c>
      <c r="Q1167" s="257">
        <v>99.98</v>
      </c>
    </row>
    <row r="1168" spans="1:17" s="12" customFormat="1" ht="31.5">
      <c r="A1168" s="8" t="s">
        <v>361</v>
      </c>
      <c r="B1168" s="10" t="s">
        <v>509</v>
      </c>
      <c r="C1168" s="10" t="s">
        <v>16</v>
      </c>
      <c r="D1168" s="10" t="s">
        <v>54</v>
      </c>
      <c r="E1168" s="34" t="s">
        <v>547</v>
      </c>
      <c r="F1168" s="10" t="s">
        <v>333</v>
      </c>
      <c r="G1168" s="11">
        <v>100</v>
      </c>
      <c r="H1168" s="31">
        <v>100</v>
      </c>
      <c r="I1168" s="7">
        <v>-90</v>
      </c>
      <c r="J1168" s="7">
        <f>H1168+I1168</f>
        <v>10</v>
      </c>
      <c r="K1168" s="7"/>
      <c r="L1168" s="7">
        <f>J1168+K1168</f>
        <v>10</v>
      </c>
      <c r="M1168" s="7"/>
      <c r="N1168" s="7">
        <v>10</v>
      </c>
      <c r="O1168" s="7">
        <v>10</v>
      </c>
      <c r="P1168" s="349">
        <v>10</v>
      </c>
      <c r="Q1168" s="257">
        <v>100</v>
      </c>
    </row>
    <row r="1169" spans="1:17" s="12" customFormat="1">
      <c r="A1169" s="8" t="s">
        <v>362</v>
      </c>
      <c r="B1169" s="10" t="s">
        <v>509</v>
      </c>
      <c r="C1169" s="10" t="s">
        <v>16</v>
      </c>
      <c r="D1169" s="10" t="s">
        <v>54</v>
      </c>
      <c r="E1169" s="34" t="s">
        <v>547</v>
      </c>
      <c r="F1169" s="10" t="s">
        <v>334</v>
      </c>
      <c r="G1169" s="11">
        <v>1094.2</v>
      </c>
      <c r="H1169" s="31">
        <v>1094.2</v>
      </c>
      <c r="I1169" s="7">
        <v>90</v>
      </c>
      <c r="J1169" s="7">
        <f>H1169+I1169</f>
        <v>1184.2</v>
      </c>
      <c r="K1169" s="7">
        <v>49</v>
      </c>
      <c r="L1169" s="7">
        <f>J1169+K1169</f>
        <v>1233.2</v>
      </c>
      <c r="M1169" s="7"/>
      <c r="N1169" s="7">
        <v>1233.2</v>
      </c>
      <c r="O1169" s="7">
        <v>1233.2</v>
      </c>
      <c r="P1169" s="349">
        <v>1233.0999999999999</v>
      </c>
      <c r="Q1169" s="257">
        <v>99.99</v>
      </c>
    </row>
    <row r="1170" spans="1:17" s="12" customFormat="1" ht="47.25">
      <c r="A1170" s="8" t="s">
        <v>725</v>
      </c>
      <c r="B1170" s="10" t="s">
        <v>509</v>
      </c>
      <c r="C1170" s="10" t="s">
        <v>16</v>
      </c>
      <c r="D1170" s="10" t="s">
        <v>54</v>
      </c>
      <c r="E1170" s="34" t="s">
        <v>548</v>
      </c>
      <c r="F1170" s="10"/>
      <c r="G1170" s="11">
        <v>600</v>
      </c>
      <c r="H1170" s="11">
        <v>600</v>
      </c>
      <c r="I1170" s="7" t="e">
        <f>I1171+#REF!+I1172</f>
        <v>#REF!</v>
      </c>
      <c r="J1170" s="7">
        <f t="shared" ref="J1170:M1170" si="461">J1171+J1172</f>
        <v>600</v>
      </c>
      <c r="K1170" s="7">
        <f t="shared" si="461"/>
        <v>99</v>
      </c>
      <c r="L1170" s="7">
        <f t="shared" si="461"/>
        <v>699</v>
      </c>
      <c r="M1170" s="7">
        <f t="shared" si="461"/>
        <v>0</v>
      </c>
      <c r="N1170" s="7">
        <v>699</v>
      </c>
      <c r="O1170" s="7">
        <v>699</v>
      </c>
      <c r="P1170" s="349">
        <v>694</v>
      </c>
      <c r="Q1170" s="257">
        <v>99.28</v>
      </c>
    </row>
    <row r="1171" spans="1:17" s="12" customFormat="1">
      <c r="A1171" s="8" t="s">
        <v>546</v>
      </c>
      <c r="B1171" s="10" t="s">
        <v>509</v>
      </c>
      <c r="C1171" s="10" t="s">
        <v>16</v>
      </c>
      <c r="D1171" s="10" t="s">
        <v>54</v>
      </c>
      <c r="E1171" s="34" t="s">
        <v>548</v>
      </c>
      <c r="F1171" s="10" t="s">
        <v>374</v>
      </c>
      <c r="G1171" s="11">
        <v>500</v>
      </c>
      <c r="H1171" s="31">
        <v>500</v>
      </c>
      <c r="I1171" s="7"/>
      <c r="J1171" s="7">
        <f>H1171+I1171</f>
        <v>500</v>
      </c>
      <c r="K1171" s="7"/>
      <c r="L1171" s="7">
        <f>J1171+K1171</f>
        <v>500</v>
      </c>
      <c r="M1171" s="7"/>
      <c r="N1171" s="7">
        <v>500</v>
      </c>
      <c r="O1171" s="7">
        <v>500</v>
      </c>
      <c r="P1171" s="349">
        <v>495</v>
      </c>
      <c r="Q1171" s="257">
        <v>99</v>
      </c>
    </row>
    <row r="1172" spans="1:17" s="12" customFormat="1">
      <c r="A1172" s="8" t="s">
        <v>362</v>
      </c>
      <c r="B1172" s="10" t="s">
        <v>509</v>
      </c>
      <c r="C1172" s="10" t="s">
        <v>16</v>
      </c>
      <c r="D1172" s="10" t="s">
        <v>54</v>
      </c>
      <c r="E1172" s="34" t="s">
        <v>548</v>
      </c>
      <c r="F1172" s="10" t="s">
        <v>334</v>
      </c>
      <c r="G1172" s="11">
        <v>0</v>
      </c>
      <c r="H1172" s="31">
        <v>0</v>
      </c>
      <c r="I1172" s="7">
        <v>100</v>
      </c>
      <c r="J1172" s="7">
        <f>H1172+I1172</f>
        <v>100</v>
      </c>
      <c r="K1172" s="7">
        <v>99</v>
      </c>
      <c r="L1172" s="7">
        <f>J1172+K1172</f>
        <v>199</v>
      </c>
      <c r="M1172" s="7"/>
      <c r="N1172" s="7">
        <v>199</v>
      </c>
      <c r="O1172" s="7">
        <v>199</v>
      </c>
      <c r="P1172" s="349">
        <v>199</v>
      </c>
      <c r="Q1172" s="257">
        <v>100</v>
      </c>
    </row>
    <row r="1173" spans="1:17" s="12" customFormat="1" ht="31.5">
      <c r="A1173" s="26" t="s">
        <v>265</v>
      </c>
      <c r="B1173" s="73">
        <v>909</v>
      </c>
      <c r="C1173" s="27" t="s">
        <v>28</v>
      </c>
      <c r="D1173" s="27"/>
      <c r="E1173" s="34"/>
      <c r="F1173" s="10"/>
      <c r="G1173" s="11"/>
      <c r="H1173" s="31"/>
      <c r="I1173" s="7"/>
      <c r="J1173" s="7">
        <f>J1174</f>
        <v>0</v>
      </c>
      <c r="K1173" s="7">
        <f t="shared" ref="K1173:M1176" si="462">K1174</f>
        <v>100</v>
      </c>
      <c r="L1173" s="7">
        <f t="shared" si="462"/>
        <v>100</v>
      </c>
      <c r="M1173" s="7">
        <f t="shared" si="462"/>
        <v>0</v>
      </c>
      <c r="N1173" s="7">
        <v>100</v>
      </c>
      <c r="O1173" s="7">
        <v>100</v>
      </c>
      <c r="P1173" s="349">
        <v>91</v>
      </c>
      <c r="Q1173" s="256">
        <v>91</v>
      </c>
    </row>
    <row r="1174" spans="1:17" s="12" customFormat="1" ht="31.5">
      <c r="A1174" s="26" t="s">
        <v>307</v>
      </c>
      <c r="B1174" s="73">
        <v>909</v>
      </c>
      <c r="C1174" s="27" t="s">
        <v>28</v>
      </c>
      <c r="D1174" s="27" t="s">
        <v>14</v>
      </c>
      <c r="E1174" s="34"/>
      <c r="F1174" s="10"/>
      <c r="G1174" s="11"/>
      <c r="H1174" s="31"/>
      <c r="I1174" s="7"/>
      <c r="J1174" s="29">
        <f>J1175</f>
        <v>0</v>
      </c>
      <c r="K1174" s="29">
        <f t="shared" si="462"/>
        <v>100</v>
      </c>
      <c r="L1174" s="29">
        <f t="shared" si="462"/>
        <v>100</v>
      </c>
      <c r="M1174" s="29">
        <f t="shared" si="462"/>
        <v>0</v>
      </c>
      <c r="N1174" s="29">
        <v>100</v>
      </c>
      <c r="O1174" s="29">
        <v>100</v>
      </c>
      <c r="P1174" s="348">
        <v>91</v>
      </c>
      <c r="Q1174" s="256">
        <v>91</v>
      </c>
    </row>
    <row r="1175" spans="1:17" s="12" customFormat="1">
      <c r="A1175" s="8" t="s">
        <v>17</v>
      </c>
      <c r="B1175" s="10" t="s">
        <v>509</v>
      </c>
      <c r="C1175" s="10" t="s">
        <v>28</v>
      </c>
      <c r="D1175" s="10" t="s">
        <v>14</v>
      </c>
      <c r="E1175" s="34" t="s">
        <v>18</v>
      </c>
      <c r="F1175" s="10"/>
      <c r="G1175" s="11"/>
      <c r="H1175" s="31"/>
      <c r="I1175" s="7"/>
      <c r="J1175" s="7">
        <f>J1176</f>
        <v>0</v>
      </c>
      <c r="K1175" s="7">
        <f t="shared" si="462"/>
        <v>100</v>
      </c>
      <c r="L1175" s="7">
        <f t="shared" si="462"/>
        <v>100</v>
      </c>
      <c r="M1175" s="7">
        <f t="shared" si="462"/>
        <v>0</v>
      </c>
      <c r="N1175" s="7">
        <v>100</v>
      </c>
      <c r="O1175" s="7">
        <v>100</v>
      </c>
      <c r="P1175" s="349">
        <v>91</v>
      </c>
      <c r="Q1175" s="257">
        <v>91</v>
      </c>
    </row>
    <row r="1176" spans="1:17" s="12" customFormat="1" ht="47.25">
      <c r="A1176" s="8" t="s">
        <v>970</v>
      </c>
      <c r="B1176" s="10" t="s">
        <v>509</v>
      </c>
      <c r="C1176" s="10" t="s">
        <v>28</v>
      </c>
      <c r="D1176" s="10" t="s">
        <v>14</v>
      </c>
      <c r="E1176" s="34" t="s">
        <v>969</v>
      </c>
      <c r="F1176" s="10"/>
      <c r="G1176" s="11"/>
      <c r="H1176" s="31"/>
      <c r="I1176" s="7"/>
      <c r="J1176" s="7">
        <f>J1177</f>
        <v>0</v>
      </c>
      <c r="K1176" s="7">
        <f t="shared" si="462"/>
        <v>100</v>
      </c>
      <c r="L1176" s="7">
        <f t="shared" si="462"/>
        <v>100</v>
      </c>
      <c r="M1176" s="7">
        <f t="shared" si="462"/>
        <v>0</v>
      </c>
      <c r="N1176" s="7">
        <v>100</v>
      </c>
      <c r="O1176" s="7">
        <v>100</v>
      </c>
      <c r="P1176" s="349">
        <v>91</v>
      </c>
      <c r="Q1176" s="257">
        <v>91</v>
      </c>
    </row>
    <row r="1177" spans="1:17" s="12" customFormat="1">
      <c r="A1177" s="8" t="s">
        <v>362</v>
      </c>
      <c r="B1177" s="10" t="s">
        <v>509</v>
      </c>
      <c r="C1177" s="10" t="s">
        <v>28</v>
      </c>
      <c r="D1177" s="10" t="s">
        <v>14</v>
      </c>
      <c r="E1177" s="34" t="s">
        <v>969</v>
      </c>
      <c r="F1177" s="10" t="s">
        <v>334</v>
      </c>
      <c r="G1177" s="11"/>
      <c r="H1177" s="31"/>
      <c r="I1177" s="7"/>
      <c r="J1177" s="7"/>
      <c r="K1177" s="7">
        <v>100</v>
      </c>
      <c r="L1177" s="7">
        <f>J1177+K1177</f>
        <v>100</v>
      </c>
      <c r="M1177" s="7"/>
      <c r="N1177" s="7">
        <v>100</v>
      </c>
      <c r="O1177" s="7">
        <v>100</v>
      </c>
      <c r="P1177" s="349">
        <v>91</v>
      </c>
      <c r="Q1177" s="257">
        <v>91</v>
      </c>
    </row>
    <row r="1178" spans="1:17" s="30" customFormat="1">
      <c r="A1178" s="26" t="s">
        <v>100</v>
      </c>
      <c r="B1178" s="27" t="s">
        <v>509</v>
      </c>
      <c r="C1178" s="27" t="s">
        <v>11</v>
      </c>
      <c r="D1178" s="27"/>
      <c r="E1178" s="48"/>
      <c r="F1178" s="27"/>
      <c r="G1178" s="28">
        <v>35389.300000000003</v>
      </c>
      <c r="H1178" s="28">
        <v>44008.6</v>
      </c>
      <c r="I1178" s="29" t="e">
        <f t="shared" ref="I1178:M1180" si="463">I1179</f>
        <v>#REF!</v>
      </c>
      <c r="J1178" s="29" t="e">
        <f t="shared" si="463"/>
        <v>#REF!</v>
      </c>
      <c r="K1178" s="29" t="e">
        <f t="shared" si="463"/>
        <v>#REF!</v>
      </c>
      <c r="L1178" s="29" t="e">
        <f t="shared" si="463"/>
        <v>#REF!</v>
      </c>
      <c r="M1178" s="29" t="e">
        <f t="shared" si="463"/>
        <v>#REF!</v>
      </c>
      <c r="N1178" s="29">
        <v>51208.6</v>
      </c>
      <c r="O1178" s="29">
        <v>51208.6</v>
      </c>
      <c r="P1178" s="348">
        <v>51146.3</v>
      </c>
      <c r="Q1178" s="256">
        <v>99.88</v>
      </c>
    </row>
    <row r="1179" spans="1:17" s="30" customFormat="1">
      <c r="A1179" s="26" t="s">
        <v>157</v>
      </c>
      <c r="B1179" s="27" t="s">
        <v>509</v>
      </c>
      <c r="C1179" s="27" t="s">
        <v>11</v>
      </c>
      <c r="D1179" s="27" t="s">
        <v>140</v>
      </c>
      <c r="E1179" s="48"/>
      <c r="F1179" s="27"/>
      <c r="G1179" s="28">
        <v>35389.300000000003</v>
      </c>
      <c r="H1179" s="28">
        <v>44008.6</v>
      </c>
      <c r="I1179" s="29" t="e">
        <f t="shared" si="463"/>
        <v>#REF!</v>
      </c>
      <c r="J1179" s="29" t="e">
        <f t="shared" si="463"/>
        <v>#REF!</v>
      </c>
      <c r="K1179" s="29" t="e">
        <f t="shared" si="463"/>
        <v>#REF!</v>
      </c>
      <c r="L1179" s="29" t="e">
        <f t="shared" si="463"/>
        <v>#REF!</v>
      </c>
      <c r="M1179" s="29" t="e">
        <f t="shared" si="463"/>
        <v>#REF!</v>
      </c>
      <c r="N1179" s="29">
        <v>51208.6</v>
      </c>
      <c r="O1179" s="29">
        <v>51208.6</v>
      </c>
      <c r="P1179" s="348">
        <v>51146.3</v>
      </c>
      <c r="Q1179" s="256">
        <v>99.88</v>
      </c>
    </row>
    <row r="1180" spans="1:17" s="12" customFormat="1">
      <c r="A1180" s="8" t="s">
        <v>17</v>
      </c>
      <c r="B1180" s="10" t="s">
        <v>509</v>
      </c>
      <c r="C1180" s="10" t="s">
        <v>11</v>
      </c>
      <c r="D1180" s="10" t="s">
        <v>140</v>
      </c>
      <c r="E1180" s="10" t="s">
        <v>18</v>
      </c>
      <c r="F1180" s="10"/>
      <c r="G1180" s="11">
        <v>35389.300000000003</v>
      </c>
      <c r="H1180" s="11">
        <v>44008.6</v>
      </c>
      <c r="I1180" s="7" t="e">
        <f t="shared" si="463"/>
        <v>#REF!</v>
      </c>
      <c r="J1180" s="7" t="e">
        <f t="shared" si="463"/>
        <v>#REF!</v>
      </c>
      <c r="K1180" s="7" t="e">
        <f t="shared" si="463"/>
        <v>#REF!</v>
      </c>
      <c r="L1180" s="7" t="e">
        <f t="shared" si="463"/>
        <v>#REF!</v>
      </c>
      <c r="M1180" s="7" t="e">
        <f t="shared" si="463"/>
        <v>#REF!</v>
      </c>
      <c r="N1180" s="7">
        <v>51208.6</v>
      </c>
      <c r="O1180" s="7">
        <v>51208.6</v>
      </c>
      <c r="P1180" s="349">
        <v>51146.3</v>
      </c>
      <c r="Q1180" s="257">
        <v>99.88</v>
      </c>
    </row>
    <row r="1181" spans="1:17" s="12" customFormat="1" ht="31.5">
      <c r="A1181" s="8" t="s">
        <v>493</v>
      </c>
      <c r="B1181" s="10" t="s">
        <v>509</v>
      </c>
      <c r="C1181" s="10" t="s">
        <v>11</v>
      </c>
      <c r="D1181" s="10" t="s">
        <v>140</v>
      </c>
      <c r="E1181" s="34" t="s">
        <v>669</v>
      </c>
      <c r="F1181" s="10"/>
      <c r="G1181" s="11">
        <v>35389.300000000003</v>
      </c>
      <c r="H1181" s="11">
        <v>44008.6</v>
      </c>
      <c r="I1181" s="7" t="e">
        <f>I1182+#REF!+#REF!+#REF!+I1184+I1185</f>
        <v>#REF!</v>
      </c>
      <c r="J1181" s="7" t="e">
        <f>J1182+#REF!+J1184+J1185</f>
        <v>#REF!</v>
      </c>
      <c r="K1181" s="7" t="e">
        <f>K1182+#REF!+K1184+K1185</f>
        <v>#REF!</v>
      </c>
      <c r="L1181" s="7" t="e">
        <f>L1182+#REF!+L1184+L1185+L1183</f>
        <v>#REF!</v>
      </c>
      <c r="M1181" s="7" t="e">
        <f>M1182+#REF!+M1184+M1185+M1183</f>
        <v>#REF!</v>
      </c>
      <c r="N1181" s="7">
        <v>51208.6</v>
      </c>
      <c r="O1181" s="7">
        <v>51208.6</v>
      </c>
      <c r="P1181" s="349">
        <v>51146.3</v>
      </c>
      <c r="Q1181" s="257">
        <v>99.88</v>
      </c>
    </row>
    <row r="1182" spans="1:17" s="12" customFormat="1">
      <c r="A1182" s="8" t="s">
        <v>356</v>
      </c>
      <c r="B1182" s="10" t="s">
        <v>509</v>
      </c>
      <c r="C1182" s="10" t="s">
        <v>11</v>
      </c>
      <c r="D1182" s="10" t="s">
        <v>140</v>
      </c>
      <c r="E1182" s="34" t="s">
        <v>669</v>
      </c>
      <c r="F1182" s="10" t="s">
        <v>332</v>
      </c>
      <c r="G1182" s="11">
        <v>353.3</v>
      </c>
      <c r="H1182" s="31">
        <v>358.3</v>
      </c>
      <c r="I1182" s="7"/>
      <c r="J1182" s="7">
        <f>H1182+I1182</f>
        <v>358.3</v>
      </c>
      <c r="K1182" s="7"/>
      <c r="L1182" s="7">
        <f>J1182+K1182</f>
        <v>358.3</v>
      </c>
      <c r="M1182" s="7">
        <v>-221.3</v>
      </c>
      <c r="N1182" s="7">
        <v>137</v>
      </c>
      <c r="O1182" s="7">
        <v>137</v>
      </c>
      <c r="P1182" s="349">
        <v>112.9</v>
      </c>
      <c r="Q1182" s="257">
        <v>82.41</v>
      </c>
    </row>
    <row r="1183" spans="1:17" s="12" customFormat="1">
      <c r="A1183" s="8" t="s">
        <v>362</v>
      </c>
      <c r="B1183" s="10" t="s">
        <v>509</v>
      </c>
      <c r="C1183" s="10" t="s">
        <v>11</v>
      </c>
      <c r="D1183" s="10" t="s">
        <v>140</v>
      </c>
      <c r="E1183" s="34" t="s">
        <v>669</v>
      </c>
      <c r="F1183" s="10" t="s">
        <v>334</v>
      </c>
      <c r="G1183" s="11"/>
      <c r="H1183" s="31"/>
      <c r="I1183" s="7"/>
      <c r="J1183" s="7"/>
      <c r="K1183" s="7"/>
      <c r="L1183" s="7"/>
      <c r="M1183" s="7">
        <v>10</v>
      </c>
      <c r="N1183" s="7">
        <v>10</v>
      </c>
      <c r="O1183" s="7">
        <v>10</v>
      </c>
      <c r="P1183" s="349">
        <v>0.5</v>
      </c>
      <c r="Q1183" s="257">
        <v>5</v>
      </c>
    </row>
    <row r="1184" spans="1:17" s="12" customFormat="1" ht="47.25">
      <c r="A1184" s="8" t="s">
        <v>360</v>
      </c>
      <c r="B1184" s="10" t="s">
        <v>509</v>
      </c>
      <c r="C1184" s="10" t="s">
        <v>11</v>
      </c>
      <c r="D1184" s="10" t="s">
        <v>140</v>
      </c>
      <c r="E1184" s="34" t="s">
        <v>669</v>
      </c>
      <c r="F1184" s="10" t="s">
        <v>359</v>
      </c>
      <c r="G1184" s="11">
        <v>38993.5</v>
      </c>
      <c r="H1184" s="31">
        <v>38993.5</v>
      </c>
      <c r="I1184" s="7"/>
      <c r="J1184" s="7">
        <f>H1184+I1184</f>
        <v>38993.5</v>
      </c>
      <c r="K1184" s="7"/>
      <c r="L1184" s="7">
        <f>J1184+K1184</f>
        <v>38993.5</v>
      </c>
      <c r="M1184" s="7">
        <v>211.3</v>
      </c>
      <c r="N1184" s="7">
        <v>39204.800000000003</v>
      </c>
      <c r="O1184" s="7">
        <v>39204.800000000003</v>
      </c>
      <c r="P1184" s="349">
        <v>39204.800000000003</v>
      </c>
      <c r="Q1184" s="257">
        <v>100</v>
      </c>
    </row>
    <row r="1185" spans="1:17" s="12" customFormat="1">
      <c r="A1185" s="8" t="s">
        <v>373</v>
      </c>
      <c r="B1185" s="10" t="s">
        <v>509</v>
      </c>
      <c r="C1185" s="10" t="s">
        <v>11</v>
      </c>
      <c r="D1185" s="10" t="s">
        <v>140</v>
      </c>
      <c r="E1185" s="34" t="s">
        <v>669</v>
      </c>
      <c r="F1185" s="10" t="s">
        <v>372</v>
      </c>
      <c r="G1185" s="11">
        <v>156.80000000000001</v>
      </c>
      <c r="H1185" s="31">
        <v>156.80000000000001</v>
      </c>
      <c r="I1185" s="7">
        <v>7300</v>
      </c>
      <c r="J1185" s="7">
        <f>H1185+I1185</f>
        <v>7456.8</v>
      </c>
      <c r="K1185" s="7">
        <v>4400</v>
      </c>
      <c r="L1185" s="7">
        <f>J1185+K1185</f>
        <v>11856.8</v>
      </c>
      <c r="M1185" s="7"/>
      <c r="N1185" s="7">
        <v>11856.8</v>
      </c>
      <c r="O1185" s="7">
        <v>11856.8</v>
      </c>
      <c r="P1185" s="349">
        <v>11828.1</v>
      </c>
      <c r="Q1185" s="257">
        <v>99.76</v>
      </c>
    </row>
    <row r="1186" spans="1:17" s="30" customFormat="1">
      <c r="A1186" s="26" t="s">
        <v>8</v>
      </c>
      <c r="B1186" s="27" t="s">
        <v>509</v>
      </c>
      <c r="C1186" s="27" t="s">
        <v>9</v>
      </c>
      <c r="D1186" s="27"/>
      <c r="E1186" s="27"/>
      <c r="F1186" s="27"/>
      <c r="G1186" s="28">
        <v>-50</v>
      </c>
      <c r="H1186" s="28">
        <v>200</v>
      </c>
      <c r="I1186" s="29" t="e">
        <f t="shared" ref="I1186:M1188" si="464">I1187</f>
        <v>#REF!</v>
      </c>
      <c r="J1186" s="29" t="e">
        <f t="shared" si="464"/>
        <v>#REF!</v>
      </c>
      <c r="K1186" s="29" t="e">
        <f t="shared" si="464"/>
        <v>#REF!</v>
      </c>
      <c r="L1186" s="29" t="e">
        <f t="shared" si="464"/>
        <v>#REF!</v>
      </c>
      <c r="M1186" s="29" t="e">
        <f t="shared" si="464"/>
        <v>#REF!</v>
      </c>
      <c r="N1186" s="29">
        <v>10.4</v>
      </c>
      <c r="O1186" s="29">
        <v>10.4</v>
      </c>
      <c r="P1186" s="348">
        <v>10.3</v>
      </c>
      <c r="Q1186" s="256">
        <v>99.04</v>
      </c>
    </row>
    <row r="1187" spans="1:17" s="30" customFormat="1" ht="31.5">
      <c r="A1187" s="26" t="s">
        <v>75</v>
      </c>
      <c r="B1187" s="27" t="s">
        <v>509</v>
      </c>
      <c r="C1187" s="27" t="s">
        <v>9</v>
      </c>
      <c r="D1187" s="27" t="s">
        <v>31</v>
      </c>
      <c r="E1187" s="27"/>
      <c r="F1187" s="27"/>
      <c r="G1187" s="28">
        <v>-50</v>
      </c>
      <c r="H1187" s="28">
        <v>200</v>
      </c>
      <c r="I1187" s="29" t="e">
        <f t="shared" si="464"/>
        <v>#REF!</v>
      </c>
      <c r="J1187" s="29" t="e">
        <f t="shared" si="464"/>
        <v>#REF!</v>
      </c>
      <c r="K1187" s="29" t="e">
        <f t="shared" si="464"/>
        <v>#REF!</v>
      </c>
      <c r="L1187" s="29" t="e">
        <f t="shared" si="464"/>
        <v>#REF!</v>
      </c>
      <c r="M1187" s="29" t="e">
        <f t="shared" si="464"/>
        <v>#REF!</v>
      </c>
      <c r="N1187" s="29">
        <v>10.4</v>
      </c>
      <c r="O1187" s="29">
        <v>10.4</v>
      </c>
      <c r="P1187" s="348">
        <v>10.3</v>
      </c>
      <c r="Q1187" s="256">
        <v>99.04</v>
      </c>
    </row>
    <row r="1188" spans="1:17" s="12" customFormat="1">
      <c r="A1188" s="8" t="s">
        <v>343</v>
      </c>
      <c r="B1188" s="10" t="s">
        <v>509</v>
      </c>
      <c r="C1188" s="10" t="s">
        <v>9</v>
      </c>
      <c r="D1188" s="10" t="s">
        <v>31</v>
      </c>
      <c r="E1188" s="10" t="s">
        <v>342</v>
      </c>
      <c r="F1188" s="10"/>
      <c r="G1188" s="11">
        <v>-50</v>
      </c>
      <c r="H1188" s="11">
        <v>200</v>
      </c>
      <c r="I1188" s="7" t="e">
        <f t="shared" si="464"/>
        <v>#REF!</v>
      </c>
      <c r="J1188" s="7" t="e">
        <f t="shared" si="464"/>
        <v>#REF!</v>
      </c>
      <c r="K1188" s="7" t="e">
        <f t="shared" si="464"/>
        <v>#REF!</v>
      </c>
      <c r="L1188" s="7" t="e">
        <f t="shared" si="464"/>
        <v>#REF!</v>
      </c>
      <c r="M1188" s="7" t="e">
        <f t="shared" si="464"/>
        <v>#REF!</v>
      </c>
      <c r="N1188" s="7">
        <v>10.4</v>
      </c>
      <c r="O1188" s="7">
        <v>10.4</v>
      </c>
      <c r="P1188" s="349">
        <v>10.3</v>
      </c>
      <c r="Q1188" s="257">
        <v>99.04</v>
      </c>
    </row>
    <row r="1189" spans="1:17" s="12" customFormat="1" ht="31.5">
      <c r="A1189" s="8" t="s">
        <v>471</v>
      </c>
      <c r="B1189" s="10" t="s">
        <v>509</v>
      </c>
      <c r="C1189" s="10" t="s">
        <v>9</v>
      </c>
      <c r="D1189" s="10" t="s">
        <v>31</v>
      </c>
      <c r="E1189" s="10" t="s">
        <v>344</v>
      </c>
      <c r="F1189" s="10"/>
      <c r="G1189" s="11">
        <v>-50</v>
      </c>
      <c r="H1189" s="11">
        <v>200</v>
      </c>
      <c r="I1189" s="7" t="e">
        <f>I1190+#REF!</f>
        <v>#REF!</v>
      </c>
      <c r="J1189" s="7" t="e">
        <f>J1190+#REF!</f>
        <v>#REF!</v>
      </c>
      <c r="K1189" s="7" t="e">
        <f>K1190+#REF!</f>
        <v>#REF!</v>
      </c>
      <c r="L1189" s="7" t="e">
        <f>L1190+#REF!</f>
        <v>#REF!</v>
      </c>
      <c r="M1189" s="7" t="e">
        <f>M1190+#REF!</f>
        <v>#REF!</v>
      </c>
      <c r="N1189" s="7">
        <v>10.4</v>
      </c>
      <c r="O1189" s="7">
        <v>10.4</v>
      </c>
      <c r="P1189" s="349">
        <v>10.3</v>
      </c>
      <c r="Q1189" s="257">
        <v>99.04</v>
      </c>
    </row>
    <row r="1190" spans="1:17" s="12" customFormat="1">
      <c r="A1190" s="8" t="s">
        <v>356</v>
      </c>
      <c r="B1190" s="10" t="s">
        <v>509</v>
      </c>
      <c r="C1190" s="10" t="s">
        <v>9</v>
      </c>
      <c r="D1190" s="10" t="s">
        <v>31</v>
      </c>
      <c r="E1190" s="10" t="s">
        <v>344</v>
      </c>
      <c r="F1190" s="10" t="s">
        <v>332</v>
      </c>
      <c r="G1190" s="11">
        <v>95</v>
      </c>
      <c r="H1190" s="31">
        <v>110</v>
      </c>
      <c r="I1190" s="7"/>
      <c r="J1190" s="7">
        <f>H1190+I1190</f>
        <v>110</v>
      </c>
      <c r="K1190" s="7">
        <v>-99.6</v>
      </c>
      <c r="L1190" s="7">
        <f>J1190+K1190</f>
        <v>10.4</v>
      </c>
      <c r="M1190" s="7"/>
      <c r="N1190" s="7">
        <v>10.4</v>
      </c>
      <c r="O1190" s="7">
        <v>10.4</v>
      </c>
      <c r="P1190" s="349">
        <v>10.3</v>
      </c>
      <c r="Q1190" s="257">
        <v>99.04</v>
      </c>
    </row>
    <row r="1191" spans="1:17" s="30" customFormat="1">
      <c r="A1191" s="26" t="s">
        <v>49</v>
      </c>
      <c r="B1191" s="27" t="s">
        <v>509</v>
      </c>
      <c r="C1191" s="27"/>
      <c r="D1191" s="27"/>
      <c r="E1191" s="27"/>
      <c r="F1191" s="27"/>
      <c r="G1191" s="28">
        <v>-5004.8</v>
      </c>
      <c r="H1191" s="28">
        <v>5000</v>
      </c>
      <c r="I1191" s="29">
        <f t="shared" ref="I1191:M1195" si="465">I1192</f>
        <v>0</v>
      </c>
      <c r="J1191" s="29">
        <f t="shared" si="465"/>
        <v>5000</v>
      </c>
      <c r="K1191" s="29">
        <f t="shared" si="465"/>
        <v>0</v>
      </c>
      <c r="L1191" s="29">
        <f t="shared" si="465"/>
        <v>5000</v>
      </c>
      <c r="M1191" s="29">
        <f t="shared" si="465"/>
        <v>0</v>
      </c>
      <c r="N1191" s="29">
        <v>5000</v>
      </c>
      <c r="O1191" s="29">
        <v>5000</v>
      </c>
      <c r="P1191" s="348">
        <v>5000</v>
      </c>
      <c r="Q1191" s="256">
        <v>100</v>
      </c>
    </row>
    <row r="1192" spans="1:17" ht="47.25">
      <c r="A1192" s="26" t="s">
        <v>199</v>
      </c>
      <c r="B1192" s="27" t="s">
        <v>509</v>
      </c>
      <c r="C1192" s="27" t="s">
        <v>200</v>
      </c>
      <c r="D1192" s="27"/>
      <c r="E1192" s="27"/>
      <c r="F1192" s="27"/>
      <c r="G1192" s="28">
        <v>-5000</v>
      </c>
      <c r="H1192" s="28">
        <v>5000</v>
      </c>
      <c r="I1192" s="29">
        <f t="shared" si="465"/>
        <v>0</v>
      </c>
      <c r="J1192" s="29">
        <f t="shared" si="465"/>
        <v>5000</v>
      </c>
      <c r="K1192" s="29">
        <f t="shared" si="465"/>
        <v>0</v>
      </c>
      <c r="L1192" s="29">
        <f t="shared" si="465"/>
        <v>5000</v>
      </c>
      <c r="M1192" s="29">
        <f t="shared" si="465"/>
        <v>0</v>
      </c>
      <c r="N1192" s="29">
        <v>5000</v>
      </c>
      <c r="O1192" s="29">
        <v>5000</v>
      </c>
      <c r="P1192" s="348">
        <v>5000</v>
      </c>
      <c r="Q1192" s="256">
        <v>100</v>
      </c>
    </row>
    <row r="1193" spans="1:17">
      <c r="A1193" s="26" t="s">
        <v>209</v>
      </c>
      <c r="B1193" s="27" t="s">
        <v>509</v>
      </c>
      <c r="C1193" s="27" t="s">
        <v>200</v>
      </c>
      <c r="D1193" s="27" t="s">
        <v>26</v>
      </c>
      <c r="E1193" s="27"/>
      <c r="F1193" s="27"/>
      <c r="G1193" s="28">
        <v>-5000</v>
      </c>
      <c r="H1193" s="28">
        <v>5000</v>
      </c>
      <c r="I1193" s="29">
        <f t="shared" si="465"/>
        <v>0</v>
      </c>
      <c r="J1193" s="29">
        <f t="shared" si="465"/>
        <v>5000</v>
      </c>
      <c r="K1193" s="29">
        <f t="shared" si="465"/>
        <v>0</v>
      </c>
      <c r="L1193" s="29">
        <f t="shared" si="465"/>
        <v>5000</v>
      </c>
      <c r="M1193" s="29">
        <f t="shared" si="465"/>
        <v>0</v>
      </c>
      <c r="N1193" s="29">
        <v>5000</v>
      </c>
      <c r="O1193" s="29">
        <v>5000</v>
      </c>
      <c r="P1193" s="348">
        <v>5000</v>
      </c>
      <c r="Q1193" s="256">
        <v>100</v>
      </c>
    </row>
    <row r="1194" spans="1:17" s="21" customFormat="1">
      <c r="A1194" s="8" t="s">
        <v>210</v>
      </c>
      <c r="B1194" s="10" t="s">
        <v>509</v>
      </c>
      <c r="C1194" s="10" t="s">
        <v>200</v>
      </c>
      <c r="D1194" s="10" t="s">
        <v>26</v>
      </c>
      <c r="E1194" s="10" t="s">
        <v>211</v>
      </c>
      <c r="F1194" s="10"/>
      <c r="G1194" s="11">
        <v>-5000</v>
      </c>
      <c r="H1194" s="11">
        <v>5000</v>
      </c>
      <c r="I1194" s="7">
        <f t="shared" si="465"/>
        <v>0</v>
      </c>
      <c r="J1194" s="7">
        <f t="shared" si="465"/>
        <v>5000</v>
      </c>
      <c r="K1194" s="7">
        <f t="shared" si="465"/>
        <v>0</v>
      </c>
      <c r="L1194" s="7">
        <f t="shared" si="465"/>
        <v>5000</v>
      </c>
      <c r="M1194" s="7">
        <f t="shared" si="465"/>
        <v>0</v>
      </c>
      <c r="N1194" s="7">
        <v>5000</v>
      </c>
      <c r="O1194" s="7">
        <v>5000</v>
      </c>
      <c r="P1194" s="349">
        <v>5000</v>
      </c>
      <c r="Q1194" s="257">
        <v>100</v>
      </c>
    </row>
    <row r="1195" spans="1:17" s="12" customFormat="1" ht="31.5">
      <c r="A1195" s="8" t="s">
        <v>467</v>
      </c>
      <c r="B1195" s="10" t="s">
        <v>509</v>
      </c>
      <c r="C1195" s="10" t="s">
        <v>200</v>
      </c>
      <c r="D1195" s="10" t="s">
        <v>26</v>
      </c>
      <c r="E1195" s="10" t="s">
        <v>466</v>
      </c>
      <c r="F1195" s="10"/>
      <c r="G1195" s="11">
        <v>-5000</v>
      </c>
      <c r="H1195" s="11">
        <v>5000</v>
      </c>
      <c r="I1195" s="7">
        <f t="shared" si="465"/>
        <v>0</v>
      </c>
      <c r="J1195" s="7">
        <f t="shared" si="465"/>
        <v>5000</v>
      </c>
      <c r="K1195" s="7">
        <f t="shared" si="465"/>
        <v>0</v>
      </c>
      <c r="L1195" s="7">
        <f t="shared" si="465"/>
        <v>5000</v>
      </c>
      <c r="M1195" s="7">
        <f t="shared" si="465"/>
        <v>0</v>
      </c>
      <c r="N1195" s="7">
        <v>5000</v>
      </c>
      <c r="O1195" s="7">
        <v>5000</v>
      </c>
      <c r="P1195" s="349">
        <v>5000</v>
      </c>
      <c r="Q1195" s="257">
        <v>100</v>
      </c>
    </row>
    <row r="1196" spans="1:17" s="12" customFormat="1">
      <c r="A1196" s="79" t="s">
        <v>214</v>
      </c>
      <c r="B1196" s="10" t="s">
        <v>509</v>
      </c>
      <c r="C1196" s="10" t="s">
        <v>200</v>
      </c>
      <c r="D1196" s="10" t="s">
        <v>26</v>
      </c>
      <c r="E1196" s="10" t="s">
        <v>466</v>
      </c>
      <c r="F1196" s="10" t="s">
        <v>444</v>
      </c>
      <c r="G1196" s="11">
        <v>-5000</v>
      </c>
      <c r="H1196" s="31">
        <v>5000</v>
      </c>
      <c r="I1196" s="7"/>
      <c r="J1196" s="7">
        <f>H1196+I1196</f>
        <v>5000</v>
      </c>
      <c r="K1196" s="7"/>
      <c r="L1196" s="7">
        <f>J1196+K1196</f>
        <v>5000</v>
      </c>
      <c r="M1196" s="7"/>
      <c r="N1196" s="7">
        <v>5000</v>
      </c>
      <c r="O1196" s="7">
        <v>5000</v>
      </c>
      <c r="P1196" s="349">
        <v>5000</v>
      </c>
      <c r="Q1196" s="257">
        <v>100</v>
      </c>
    </row>
    <row r="1197" spans="1:17" s="30" customFormat="1">
      <c r="A1197" s="408" t="s">
        <v>235</v>
      </c>
      <c r="B1197" s="409"/>
      <c r="C1197" s="409"/>
      <c r="D1197" s="409"/>
      <c r="E1197" s="409"/>
      <c r="F1197" s="409"/>
      <c r="G1197" s="28">
        <v>47229.5</v>
      </c>
      <c r="H1197" s="28">
        <v>1177076.8999999999</v>
      </c>
      <c r="I1197" s="29" t="e">
        <f>I1198+I1203+I1379</f>
        <v>#REF!</v>
      </c>
      <c r="J1197" s="29" t="e">
        <f>J1198+J1203+J1379</f>
        <v>#REF!</v>
      </c>
      <c r="K1197" s="29" t="e">
        <f>K1198+K1203+K1379</f>
        <v>#REF!</v>
      </c>
      <c r="L1197" s="29" t="e">
        <f>L1198+L1203+L1379</f>
        <v>#REF!</v>
      </c>
      <c r="M1197" s="29" t="e">
        <f>M1198+M1203+M1379</f>
        <v>#REF!</v>
      </c>
      <c r="N1197" s="29">
        <v>1305578.8</v>
      </c>
      <c r="O1197" s="29">
        <v>1313042.3</v>
      </c>
      <c r="P1197" s="348">
        <v>1262670.2</v>
      </c>
      <c r="Q1197" s="256">
        <v>96.16</v>
      </c>
    </row>
    <row r="1198" spans="1:17" s="30" customFormat="1">
      <c r="A1198" s="26" t="s">
        <v>8</v>
      </c>
      <c r="B1198" s="73">
        <v>910</v>
      </c>
      <c r="C1198" s="27" t="s">
        <v>9</v>
      </c>
      <c r="D1198" s="27"/>
      <c r="E1198" s="27"/>
      <c r="F1198" s="27"/>
      <c r="G1198" s="28">
        <v>-23227.8</v>
      </c>
      <c r="H1198" s="28">
        <v>37741.9</v>
      </c>
      <c r="I1198" s="29">
        <f t="shared" ref="I1198:M1199" si="466">I1199</f>
        <v>0</v>
      </c>
      <c r="J1198" s="29">
        <f t="shared" si="466"/>
        <v>37741.9</v>
      </c>
      <c r="K1198" s="29">
        <f t="shared" si="466"/>
        <v>0</v>
      </c>
      <c r="L1198" s="29">
        <f t="shared" si="466"/>
        <v>37741.9</v>
      </c>
      <c r="M1198" s="29">
        <f t="shared" si="466"/>
        <v>0</v>
      </c>
      <c r="N1198" s="29">
        <v>37741.9</v>
      </c>
      <c r="O1198" s="29">
        <v>37741.9</v>
      </c>
      <c r="P1198" s="348">
        <v>37741.9</v>
      </c>
      <c r="Q1198" s="256">
        <v>100</v>
      </c>
    </row>
    <row r="1199" spans="1:17" s="30" customFormat="1">
      <c r="A1199" s="26" t="s">
        <v>76</v>
      </c>
      <c r="B1199" s="27" t="s">
        <v>510</v>
      </c>
      <c r="C1199" s="27" t="s">
        <v>9</v>
      </c>
      <c r="D1199" s="27" t="s">
        <v>9</v>
      </c>
      <c r="E1199" s="27"/>
      <c r="F1199" s="27"/>
      <c r="G1199" s="28">
        <v>-23227.8</v>
      </c>
      <c r="H1199" s="28">
        <v>37741.9</v>
      </c>
      <c r="I1199" s="29">
        <f t="shared" si="466"/>
        <v>0</v>
      </c>
      <c r="J1199" s="29">
        <f t="shared" si="466"/>
        <v>37741.9</v>
      </c>
      <c r="K1199" s="29">
        <f t="shared" si="466"/>
        <v>0</v>
      </c>
      <c r="L1199" s="29">
        <f t="shared" si="466"/>
        <v>37741.9</v>
      </c>
      <c r="M1199" s="29">
        <f t="shared" si="466"/>
        <v>0</v>
      </c>
      <c r="N1199" s="29">
        <v>37741.9</v>
      </c>
      <c r="O1199" s="29">
        <v>37741.9</v>
      </c>
      <c r="P1199" s="348">
        <v>37741.9</v>
      </c>
      <c r="Q1199" s="256">
        <v>100</v>
      </c>
    </row>
    <row r="1200" spans="1:17" s="12" customFormat="1">
      <c r="A1200" s="8" t="s">
        <v>236</v>
      </c>
      <c r="B1200" s="10" t="s">
        <v>510</v>
      </c>
      <c r="C1200" s="10" t="s">
        <v>9</v>
      </c>
      <c r="D1200" s="10" t="s">
        <v>9</v>
      </c>
      <c r="E1200" s="10" t="s">
        <v>237</v>
      </c>
      <c r="F1200" s="10"/>
      <c r="G1200" s="11">
        <v>0.1</v>
      </c>
      <c r="H1200" s="11">
        <v>37741.9</v>
      </c>
      <c r="I1200" s="7">
        <f t="shared" ref="I1200:M1200" si="467">I1201+I1202</f>
        <v>0</v>
      </c>
      <c r="J1200" s="7">
        <f t="shared" si="467"/>
        <v>37741.9</v>
      </c>
      <c r="K1200" s="7">
        <f t="shared" si="467"/>
        <v>0</v>
      </c>
      <c r="L1200" s="7">
        <f t="shared" si="467"/>
        <v>37741.9</v>
      </c>
      <c r="M1200" s="7">
        <f t="shared" si="467"/>
        <v>0</v>
      </c>
      <c r="N1200" s="7">
        <v>37741.9</v>
      </c>
      <c r="O1200" s="7">
        <v>37741.9</v>
      </c>
      <c r="P1200" s="349">
        <v>37741.9</v>
      </c>
      <c r="Q1200" s="257">
        <v>100</v>
      </c>
    </row>
    <row r="1201" spans="1:17" s="12" customFormat="1">
      <c r="A1201" s="8" t="s">
        <v>373</v>
      </c>
      <c r="B1201" s="10" t="s">
        <v>510</v>
      </c>
      <c r="C1201" s="10" t="s">
        <v>9</v>
      </c>
      <c r="D1201" s="10" t="s">
        <v>9</v>
      </c>
      <c r="E1201" s="10" t="s">
        <v>237</v>
      </c>
      <c r="F1201" s="10" t="s">
        <v>372</v>
      </c>
      <c r="G1201" s="11">
        <v>-10424</v>
      </c>
      <c r="H1201" s="31">
        <v>6185</v>
      </c>
      <c r="I1201" s="7"/>
      <c r="J1201" s="7">
        <f>H1201+I1201</f>
        <v>6185</v>
      </c>
      <c r="K1201" s="7">
        <f>-175.7+191.1</f>
        <v>15.4</v>
      </c>
      <c r="L1201" s="7">
        <f>J1201+K1201</f>
        <v>6200.4</v>
      </c>
      <c r="M1201" s="7"/>
      <c r="N1201" s="7">
        <v>6200.4</v>
      </c>
      <c r="O1201" s="7">
        <v>6200.4</v>
      </c>
      <c r="P1201" s="349">
        <v>6200.4</v>
      </c>
      <c r="Q1201" s="257">
        <v>100</v>
      </c>
    </row>
    <row r="1202" spans="1:17" s="12" customFormat="1">
      <c r="A1202" s="8" t="s">
        <v>367</v>
      </c>
      <c r="B1202" s="10" t="s">
        <v>510</v>
      </c>
      <c r="C1202" s="57" t="s">
        <v>9</v>
      </c>
      <c r="D1202" s="57" t="s">
        <v>9</v>
      </c>
      <c r="E1202" s="57" t="s">
        <v>237</v>
      </c>
      <c r="F1202" s="10" t="s">
        <v>365</v>
      </c>
      <c r="G1202" s="11">
        <v>10424.1</v>
      </c>
      <c r="H1202" s="31">
        <v>31556.9</v>
      </c>
      <c r="I1202" s="7"/>
      <c r="J1202" s="7">
        <f>H1202+I1202</f>
        <v>31556.9</v>
      </c>
      <c r="K1202" s="7">
        <f>175.7-191.1</f>
        <v>-15.4</v>
      </c>
      <c r="L1202" s="7">
        <f>J1202+K1202</f>
        <v>31541.5</v>
      </c>
      <c r="M1202" s="7"/>
      <c r="N1202" s="7">
        <v>31541.5</v>
      </c>
      <c r="O1202" s="7">
        <v>31541.5</v>
      </c>
      <c r="P1202" s="349">
        <v>31541.5</v>
      </c>
      <c r="Q1202" s="257">
        <v>100</v>
      </c>
    </row>
    <row r="1203" spans="1:17" s="30" customFormat="1">
      <c r="A1203" s="26" t="s">
        <v>45</v>
      </c>
      <c r="B1203" s="27" t="s">
        <v>510</v>
      </c>
      <c r="C1203" s="27">
        <v>10</v>
      </c>
      <c r="D1203" s="27"/>
      <c r="E1203" s="27"/>
      <c r="F1203" s="27"/>
      <c r="G1203" s="28">
        <v>17206.400000000001</v>
      </c>
      <c r="H1203" s="28">
        <v>1075282.1000000001</v>
      </c>
      <c r="I1203" s="29" t="e">
        <f>I1204+I1209+I1281+I1340</f>
        <v>#REF!</v>
      </c>
      <c r="J1203" s="29" t="e">
        <f>J1204+J1209+J1281+J1340+J1331</f>
        <v>#REF!</v>
      </c>
      <c r="K1203" s="29" t="e">
        <f>K1204+K1209+K1281+K1340+K1331</f>
        <v>#REF!</v>
      </c>
      <c r="L1203" s="29" t="e">
        <f>L1204+L1209+L1281+L1340+L1331</f>
        <v>#REF!</v>
      </c>
      <c r="M1203" s="29" t="e">
        <f>M1204+M1209+M1281+M1340+M1331</f>
        <v>#REF!</v>
      </c>
      <c r="N1203" s="29">
        <v>1195573.6000000001</v>
      </c>
      <c r="O1203" s="29">
        <v>1203037.1000000001</v>
      </c>
      <c r="P1203" s="348">
        <v>1153249.8999999999</v>
      </c>
      <c r="Q1203" s="256">
        <v>95.86</v>
      </c>
    </row>
    <row r="1204" spans="1:17" s="30" customFormat="1">
      <c r="A1204" s="26" t="s">
        <v>178</v>
      </c>
      <c r="B1204" s="27" t="s">
        <v>510</v>
      </c>
      <c r="C1204" s="27">
        <v>10</v>
      </c>
      <c r="D1204" s="27" t="s">
        <v>16</v>
      </c>
      <c r="E1204" s="27"/>
      <c r="F1204" s="27"/>
      <c r="G1204" s="28">
        <v>4766</v>
      </c>
      <c r="H1204" s="28">
        <v>10086</v>
      </c>
      <c r="I1204" s="29">
        <f t="shared" ref="I1204:M1207" si="468">I1205</f>
        <v>0</v>
      </c>
      <c r="J1204" s="29">
        <f t="shared" si="468"/>
        <v>10086</v>
      </c>
      <c r="K1204" s="29">
        <f t="shared" si="468"/>
        <v>0</v>
      </c>
      <c r="L1204" s="29">
        <f t="shared" si="468"/>
        <v>10086</v>
      </c>
      <c r="M1204" s="29">
        <f t="shared" si="468"/>
        <v>450</v>
      </c>
      <c r="N1204" s="29">
        <v>10536</v>
      </c>
      <c r="O1204" s="29">
        <v>10536</v>
      </c>
      <c r="P1204" s="348">
        <v>10536</v>
      </c>
      <c r="Q1204" s="256">
        <v>100</v>
      </c>
    </row>
    <row r="1205" spans="1:17" s="12" customFormat="1">
      <c r="A1205" s="8" t="s">
        <v>240</v>
      </c>
      <c r="B1205" s="10" t="s">
        <v>510</v>
      </c>
      <c r="C1205" s="10">
        <v>10</v>
      </c>
      <c r="D1205" s="10" t="s">
        <v>16</v>
      </c>
      <c r="E1205" s="10" t="s">
        <v>241</v>
      </c>
      <c r="F1205" s="10"/>
      <c r="G1205" s="11">
        <v>4766</v>
      </c>
      <c r="H1205" s="11">
        <v>10086</v>
      </c>
      <c r="I1205" s="7">
        <f t="shared" si="468"/>
        <v>0</v>
      </c>
      <c r="J1205" s="7">
        <f t="shared" si="468"/>
        <v>10086</v>
      </c>
      <c r="K1205" s="7">
        <f t="shared" si="468"/>
        <v>0</v>
      </c>
      <c r="L1205" s="7">
        <f t="shared" si="468"/>
        <v>10086</v>
      </c>
      <c r="M1205" s="7">
        <f t="shared" si="468"/>
        <v>450</v>
      </c>
      <c r="N1205" s="7">
        <v>10536</v>
      </c>
      <c r="O1205" s="7">
        <v>10536</v>
      </c>
      <c r="P1205" s="349">
        <v>10536</v>
      </c>
      <c r="Q1205" s="257">
        <v>100</v>
      </c>
    </row>
    <row r="1206" spans="1:17" s="12" customFormat="1">
      <c r="A1206" s="8" t="s">
        <v>242</v>
      </c>
      <c r="B1206" s="10" t="s">
        <v>510</v>
      </c>
      <c r="C1206" s="10">
        <v>10</v>
      </c>
      <c r="D1206" s="10" t="s">
        <v>16</v>
      </c>
      <c r="E1206" s="10" t="s">
        <v>243</v>
      </c>
      <c r="F1206" s="10"/>
      <c r="G1206" s="11">
        <v>4766</v>
      </c>
      <c r="H1206" s="11">
        <v>10086</v>
      </c>
      <c r="I1206" s="7">
        <f t="shared" si="468"/>
        <v>0</v>
      </c>
      <c r="J1206" s="7">
        <f t="shared" si="468"/>
        <v>10086</v>
      </c>
      <c r="K1206" s="7">
        <f t="shared" si="468"/>
        <v>0</v>
      </c>
      <c r="L1206" s="7">
        <f t="shared" si="468"/>
        <v>10086</v>
      </c>
      <c r="M1206" s="7">
        <f t="shared" si="468"/>
        <v>450</v>
      </c>
      <c r="N1206" s="7">
        <v>10536</v>
      </c>
      <c r="O1206" s="7">
        <v>10536</v>
      </c>
      <c r="P1206" s="349">
        <v>10536</v>
      </c>
      <c r="Q1206" s="257">
        <v>100</v>
      </c>
    </row>
    <row r="1207" spans="1:17" s="12" customFormat="1" ht="31.5">
      <c r="A1207" s="8" t="s">
        <v>244</v>
      </c>
      <c r="B1207" s="10" t="s">
        <v>510</v>
      </c>
      <c r="C1207" s="10">
        <v>10</v>
      </c>
      <c r="D1207" s="10" t="s">
        <v>16</v>
      </c>
      <c r="E1207" s="10" t="s">
        <v>245</v>
      </c>
      <c r="F1207" s="10"/>
      <c r="G1207" s="11">
        <v>4766</v>
      </c>
      <c r="H1207" s="11">
        <v>10086</v>
      </c>
      <c r="I1207" s="7">
        <f t="shared" si="468"/>
        <v>0</v>
      </c>
      <c r="J1207" s="7">
        <f t="shared" si="468"/>
        <v>10086</v>
      </c>
      <c r="K1207" s="7">
        <f t="shared" si="468"/>
        <v>0</v>
      </c>
      <c r="L1207" s="7">
        <f t="shared" si="468"/>
        <v>10086</v>
      </c>
      <c r="M1207" s="7">
        <f t="shared" si="468"/>
        <v>450</v>
      </c>
      <c r="N1207" s="7">
        <v>10536</v>
      </c>
      <c r="O1207" s="7">
        <v>10536</v>
      </c>
      <c r="P1207" s="349">
        <v>10536</v>
      </c>
      <c r="Q1207" s="257">
        <v>100</v>
      </c>
    </row>
    <row r="1208" spans="1:17" s="12" customFormat="1" ht="31.5">
      <c r="A1208" s="8" t="s">
        <v>357</v>
      </c>
      <c r="B1208" s="10" t="s">
        <v>510</v>
      </c>
      <c r="C1208" s="10">
        <v>10</v>
      </c>
      <c r="D1208" s="10" t="s">
        <v>16</v>
      </c>
      <c r="E1208" s="10" t="s">
        <v>245</v>
      </c>
      <c r="F1208" s="10" t="s">
        <v>358</v>
      </c>
      <c r="G1208" s="11">
        <v>4766</v>
      </c>
      <c r="H1208" s="31">
        <v>10086</v>
      </c>
      <c r="I1208" s="7"/>
      <c r="J1208" s="7">
        <f>H1208+I1208</f>
        <v>10086</v>
      </c>
      <c r="K1208" s="7"/>
      <c r="L1208" s="7">
        <f>J1208+K1208</f>
        <v>10086</v>
      </c>
      <c r="M1208" s="7">
        <v>450</v>
      </c>
      <c r="N1208" s="7">
        <v>10536</v>
      </c>
      <c r="O1208" s="7">
        <v>10536</v>
      </c>
      <c r="P1208" s="349">
        <v>10536</v>
      </c>
      <c r="Q1208" s="257">
        <v>100</v>
      </c>
    </row>
    <row r="1209" spans="1:17" s="30" customFormat="1">
      <c r="A1209" s="26" t="s">
        <v>181</v>
      </c>
      <c r="B1209" s="27" t="s">
        <v>510</v>
      </c>
      <c r="C1209" s="27">
        <v>10</v>
      </c>
      <c r="D1209" s="27" t="s">
        <v>26</v>
      </c>
      <c r="E1209" s="27"/>
      <c r="F1209" s="27"/>
      <c r="G1209" s="28">
        <v>20488</v>
      </c>
      <c r="H1209" s="28">
        <v>228122.1</v>
      </c>
      <c r="I1209" s="29" t="e">
        <f>#REF!+I1233+I1253+#REF!</f>
        <v>#REF!</v>
      </c>
      <c r="J1209" s="29" t="e">
        <f>J1233+J1253+#REF!+#REF!+J1212+J1219+J1216</f>
        <v>#REF!</v>
      </c>
      <c r="K1209" s="29" t="e">
        <f>K1233+K1253+#REF!+#REF!+K1212+K1219+K1216</f>
        <v>#REF!</v>
      </c>
      <c r="L1209" s="29" t="e">
        <f>L1233+L1253+#REF!+#REF!+L1212+L1219+L1216+L1224+L1227</f>
        <v>#REF!</v>
      </c>
      <c r="M1209" s="29" t="e">
        <f>M1233+M1253+#REF!+#REF!+M1212+M1219+M1216+M1224+M1227</f>
        <v>#REF!</v>
      </c>
      <c r="N1209" s="29">
        <v>293869.09999999998</v>
      </c>
      <c r="O1209" s="29">
        <v>300880.7</v>
      </c>
      <c r="P1209" s="348">
        <v>297387.8</v>
      </c>
      <c r="Q1209" s="256">
        <v>98.84</v>
      </c>
    </row>
    <row r="1210" spans="1:17" s="12" customFormat="1">
      <c r="A1210" s="8" t="s">
        <v>150</v>
      </c>
      <c r="B1210" s="10" t="s">
        <v>510</v>
      </c>
      <c r="C1210" s="10">
        <v>10</v>
      </c>
      <c r="D1210" s="10" t="s">
        <v>26</v>
      </c>
      <c r="E1210" s="10" t="s">
        <v>151</v>
      </c>
      <c r="F1210" s="10"/>
      <c r="G1210" s="11"/>
      <c r="H1210" s="11"/>
      <c r="I1210" s="7"/>
      <c r="J1210" s="7"/>
      <c r="K1210" s="7"/>
      <c r="L1210" s="7"/>
      <c r="M1210" s="7"/>
      <c r="N1210" s="7">
        <v>0</v>
      </c>
      <c r="O1210" s="7">
        <v>575</v>
      </c>
      <c r="P1210" s="349">
        <v>575</v>
      </c>
      <c r="Q1210" s="257">
        <v>100</v>
      </c>
    </row>
    <row r="1211" spans="1:17" s="12" customFormat="1">
      <c r="A1211" s="8" t="s">
        <v>367</v>
      </c>
      <c r="B1211" s="10" t="s">
        <v>510</v>
      </c>
      <c r="C1211" s="10">
        <v>10</v>
      </c>
      <c r="D1211" s="10" t="s">
        <v>26</v>
      </c>
      <c r="E1211" s="10" t="s">
        <v>151</v>
      </c>
      <c r="F1211" s="10" t="s">
        <v>365</v>
      </c>
      <c r="G1211" s="11"/>
      <c r="H1211" s="11"/>
      <c r="I1211" s="7"/>
      <c r="J1211" s="7"/>
      <c r="K1211" s="7"/>
      <c r="L1211" s="7"/>
      <c r="M1211" s="7"/>
      <c r="N1211" s="7">
        <v>0</v>
      </c>
      <c r="O1211" s="7">
        <v>575</v>
      </c>
      <c r="P1211" s="349">
        <v>575</v>
      </c>
      <c r="Q1211" s="257">
        <v>100</v>
      </c>
    </row>
    <row r="1212" spans="1:17" s="30" customFormat="1" ht="31.5">
      <c r="A1212" s="8" t="s">
        <v>922</v>
      </c>
      <c r="B1212" s="10" t="s">
        <v>510</v>
      </c>
      <c r="C1212" s="10">
        <v>10</v>
      </c>
      <c r="D1212" s="10" t="s">
        <v>26</v>
      </c>
      <c r="E1212" s="10" t="s">
        <v>921</v>
      </c>
      <c r="F1212" s="10"/>
      <c r="G1212" s="11"/>
      <c r="H1212" s="11"/>
      <c r="I1212" s="7"/>
      <c r="J1212" s="7"/>
      <c r="K1212" s="7">
        <f t="shared" ref="K1212:M1212" si="469">K1213</f>
        <v>3825</v>
      </c>
      <c r="L1212" s="7">
        <f t="shared" si="469"/>
        <v>3825</v>
      </c>
      <c r="M1212" s="7">
        <f t="shared" si="469"/>
        <v>0</v>
      </c>
      <c r="N1212" s="7">
        <v>3825</v>
      </c>
      <c r="O1212" s="7">
        <v>3825</v>
      </c>
      <c r="P1212" s="349">
        <v>3821.5</v>
      </c>
      <c r="Q1212" s="257">
        <v>99.91</v>
      </c>
    </row>
    <row r="1213" spans="1:17" s="30" customFormat="1" ht="31.5">
      <c r="A1213" s="8" t="s">
        <v>923</v>
      </c>
      <c r="B1213" s="10" t="s">
        <v>510</v>
      </c>
      <c r="C1213" s="10">
        <v>10</v>
      </c>
      <c r="D1213" s="10" t="s">
        <v>26</v>
      </c>
      <c r="E1213" s="10" t="s">
        <v>920</v>
      </c>
      <c r="F1213" s="10"/>
      <c r="G1213" s="11"/>
      <c r="H1213" s="11"/>
      <c r="I1213" s="7"/>
      <c r="J1213" s="7"/>
      <c r="K1213" s="7">
        <f t="shared" ref="K1213:M1213" si="470">K1214+K1215</f>
        <v>3825</v>
      </c>
      <c r="L1213" s="7">
        <f t="shared" si="470"/>
        <v>3825</v>
      </c>
      <c r="M1213" s="7">
        <f t="shared" si="470"/>
        <v>0</v>
      </c>
      <c r="N1213" s="7">
        <v>3825</v>
      </c>
      <c r="O1213" s="7">
        <v>3825</v>
      </c>
      <c r="P1213" s="349">
        <v>3821.5</v>
      </c>
      <c r="Q1213" s="257">
        <v>99.91</v>
      </c>
    </row>
    <row r="1214" spans="1:17" s="30" customFormat="1">
      <c r="A1214" s="8" t="s">
        <v>373</v>
      </c>
      <c r="B1214" s="10" t="s">
        <v>510</v>
      </c>
      <c r="C1214" s="10">
        <v>10</v>
      </c>
      <c r="D1214" s="10" t="s">
        <v>26</v>
      </c>
      <c r="E1214" s="10" t="s">
        <v>920</v>
      </c>
      <c r="F1214" s="10" t="s">
        <v>372</v>
      </c>
      <c r="G1214" s="11"/>
      <c r="H1214" s="11"/>
      <c r="I1214" s="7"/>
      <c r="J1214" s="7"/>
      <c r="K1214" s="7">
        <v>1600</v>
      </c>
      <c r="L1214" s="7">
        <f>J1214+K1214</f>
        <v>1600</v>
      </c>
      <c r="M1214" s="7"/>
      <c r="N1214" s="7">
        <v>1600</v>
      </c>
      <c r="O1214" s="7">
        <v>1600</v>
      </c>
      <c r="P1214" s="349">
        <v>1599.5</v>
      </c>
      <c r="Q1214" s="257">
        <v>99.97</v>
      </c>
    </row>
    <row r="1215" spans="1:17" s="30" customFormat="1">
      <c r="A1215" s="8" t="s">
        <v>367</v>
      </c>
      <c r="B1215" s="10" t="s">
        <v>510</v>
      </c>
      <c r="C1215" s="10">
        <v>10</v>
      </c>
      <c r="D1215" s="10" t="s">
        <v>26</v>
      </c>
      <c r="E1215" s="10" t="s">
        <v>920</v>
      </c>
      <c r="F1215" s="10" t="s">
        <v>365</v>
      </c>
      <c r="G1215" s="11"/>
      <c r="H1215" s="11"/>
      <c r="I1215" s="7"/>
      <c r="J1215" s="7"/>
      <c r="K1215" s="7">
        <v>2225</v>
      </c>
      <c r="L1215" s="7">
        <f>J1215+K1215</f>
        <v>2225</v>
      </c>
      <c r="M1215" s="7"/>
      <c r="N1215" s="7">
        <v>2225</v>
      </c>
      <c r="O1215" s="7">
        <v>2225</v>
      </c>
      <c r="P1215" s="349">
        <v>2222</v>
      </c>
      <c r="Q1215" s="257">
        <v>99.87</v>
      </c>
    </row>
    <row r="1216" spans="1:17" s="30" customFormat="1" ht="31.5">
      <c r="A1216" s="32" t="s">
        <v>984</v>
      </c>
      <c r="B1216" s="10" t="s">
        <v>510</v>
      </c>
      <c r="C1216" s="10">
        <v>10</v>
      </c>
      <c r="D1216" s="10" t="s">
        <v>26</v>
      </c>
      <c r="E1216" s="10" t="s">
        <v>985</v>
      </c>
      <c r="F1216" s="10"/>
      <c r="G1216" s="11"/>
      <c r="H1216" s="11"/>
      <c r="I1216" s="7"/>
      <c r="J1216" s="7">
        <f t="shared" ref="J1216:M1216" si="471">J1217+J1218</f>
        <v>0</v>
      </c>
      <c r="K1216" s="7">
        <f t="shared" si="471"/>
        <v>1000</v>
      </c>
      <c r="L1216" s="7">
        <f t="shared" si="471"/>
        <v>1000</v>
      </c>
      <c r="M1216" s="7">
        <f t="shared" si="471"/>
        <v>0</v>
      </c>
      <c r="N1216" s="7">
        <v>1000</v>
      </c>
      <c r="O1216" s="7">
        <v>1000</v>
      </c>
      <c r="P1216" s="349">
        <v>1000</v>
      </c>
      <c r="Q1216" s="257">
        <v>100</v>
      </c>
    </row>
    <row r="1217" spans="1:17" s="30" customFormat="1">
      <c r="A1217" s="8" t="s">
        <v>373</v>
      </c>
      <c r="B1217" s="10" t="s">
        <v>510</v>
      </c>
      <c r="C1217" s="10">
        <v>10</v>
      </c>
      <c r="D1217" s="10" t="s">
        <v>26</v>
      </c>
      <c r="E1217" s="10" t="s">
        <v>985</v>
      </c>
      <c r="F1217" s="10" t="s">
        <v>372</v>
      </c>
      <c r="G1217" s="11"/>
      <c r="H1217" s="11"/>
      <c r="I1217" s="7"/>
      <c r="J1217" s="7"/>
      <c r="K1217" s="7">
        <v>605.6</v>
      </c>
      <c r="L1217" s="7">
        <f>J1217+K1217</f>
        <v>605.6</v>
      </c>
      <c r="M1217" s="7"/>
      <c r="N1217" s="7">
        <v>605.6</v>
      </c>
      <c r="O1217" s="7">
        <v>605.6</v>
      </c>
      <c r="P1217" s="349">
        <v>605.6</v>
      </c>
      <c r="Q1217" s="257">
        <v>100</v>
      </c>
    </row>
    <row r="1218" spans="1:17" s="30" customFormat="1">
      <c r="A1218" s="8" t="s">
        <v>367</v>
      </c>
      <c r="B1218" s="10" t="s">
        <v>510</v>
      </c>
      <c r="C1218" s="10">
        <v>10</v>
      </c>
      <c r="D1218" s="10" t="s">
        <v>26</v>
      </c>
      <c r="E1218" s="10" t="s">
        <v>985</v>
      </c>
      <c r="F1218" s="10" t="s">
        <v>365</v>
      </c>
      <c r="G1218" s="11"/>
      <c r="H1218" s="11"/>
      <c r="I1218" s="7"/>
      <c r="J1218" s="7"/>
      <c r="K1218" s="7">
        <v>394.4</v>
      </c>
      <c r="L1218" s="7">
        <f>J1218+K1218</f>
        <v>394.4</v>
      </c>
      <c r="M1218" s="7"/>
      <c r="N1218" s="7">
        <v>394.4</v>
      </c>
      <c r="O1218" s="7">
        <v>394.4</v>
      </c>
      <c r="P1218" s="349">
        <v>394.4</v>
      </c>
      <c r="Q1218" s="257">
        <v>100</v>
      </c>
    </row>
    <row r="1219" spans="1:17" s="30" customFormat="1">
      <c r="A1219" s="8" t="s">
        <v>830</v>
      </c>
      <c r="B1219" s="10" t="s">
        <v>510</v>
      </c>
      <c r="C1219" s="10">
        <v>10</v>
      </c>
      <c r="D1219" s="10" t="s">
        <v>26</v>
      </c>
      <c r="E1219" s="10" t="s">
        <v>828</v>
      </c>
      <c r="F1219" s="10"/>
      <c r="G1219" s="11"/>
      <c r="H1219" s="11"/>
      <c r="I1219" s="7"/>
      <c r="J1219" s="7">
        <f t="shared" ref="J1219:M1220" si="472">J1220</f>
        <v>0</v>
      </c>
      <c r="K1219" s="7">
        <f t="shared" si="472"/>
        <v>3000</v>
      </c>
      <c r="L1219" s="7">
        <f t="shared" si="472"/>
        <v>3000</v>
      </c>
      <c r="M1219" s="7">
        <f t="shared" si="472"/>
        <v>0</v>
      </c>
      <c r="N1219" s="7">
        <v>3000</v>
      </c>
      <c r="O1219" s="7">
        <v>3000</v>
      </c>
      <c r="P1219" s="349">
        <v>3000</v>
      </c>
      <c r="Q1219" s="257">
        <v>100</v>
      </c>
    </row>
    <row r="1220" spans="1:17" s="30" customFormat="1" ht="47.25">
      <c r="A1220" s="33" t="s">
        <v>831</v>
      </c>
      <c r="B1220" s="10" t="s">
        <v>510</v>
      </c>
      <c r="C1220" s="10">
        <v>10</v>
      </c>
      <c r="D1220" s="10" t="s">
        <v>26</v>
      </c>
      <c r="E1220" s="10" t="s">
        <v>829</v>
      </c>
      <c r="F1220" s="10"/>
      <c r="G1220" s="11"/>
      <c r="H1220" s="11"/>
      <c r="I1220" s="7"/>
      <c r="J1220" s="7">
        <f t="shared" si="472"/>
        <v>0</v>
      </c>
      <c r="K1220" s="7">
        <f t="shared" si="472"/>
        <v>3000</v>
      </c>
      <c r="L1220" s="7">
        <f t="shared" si="472"/>
        <v>3000</v>
      </c>
      <c r="M1220" s="7">
        <f t="shared" si="472"/>
        <v>0</v>
      </c>
      <c r="N1220" s="7">
        <v>3000</v>
      </c>
      <c r="O1220" s="7">
        <v>3000</v>
      </c>
      <c r="P1220" s="349">
        <v>3000</v>
      </c>
      <c r="Q1220" s="257">
        <v>100</v>
      </c>
    </row>
    <row r="1221" spans="1:17" s="30" customFormat="1">
      <c r="A1221" s="8" t="s">
        <v>367</v>
      </c>
      <c r="B1221" s="10" t="s">
        <v>510</v>
      </c>
      <c r="C1221" s="10">
        <v>10</v>
      </c>
      <c r="D1221" s="10" t="s">
        <v>26</v>
      </c>
      <c r="E1221" s="10" t="s">
        <v>829</v>
      </c>
      <c r="F1221" s="10" t="s">
        <v>365</v>
      </c>
      <c r="G1221" s="11"/>
      <c r="H1221" s="11"/>
      <c r="I1221" s="7"/>
      <c r="J1221" s="7"/>
      <c r="K1221" s="7">
        <v>3000</v>
      </c>
      <c r="L1221" s="7">
        <f>J1221+K1221</f>
        <v>3000</v>
      </c>
      <c r="M1221" s="7"/>
      <c r="N1221" s="7">
        <v>3000</v>
      </c>
      <c r="O1221" s="7">
        <v>3000</v>
      </c>
      <c r="P1221" s="349">
        <v>3000</v>
      </c>
      <c r="Q1221" s="257">
        <v>100</v>
      </c>
    </row>
    <row r="1222" spans="1:17" s="30" customFormat="1" ht="31.5">
      <c r="A1222" s="8" t="s">
        <v>249</v>
      </c>
      <c r="B1222" s="10" t="s">
        <v>510</v>
      </c>
      <c r="C1222" s="10">
        <v>10</v>
      </c>
      <c r="D1222" s="10" t="s">
        <v>26</v>
      </c>
      <c r="E1222" s="10" t="s">
        <v>250</v>
      </c>
      <c r="F1222" s="10"/>
      <c r="G1222" s="11"/>
      <c r="H1222" s="11"/>
      <c r="I1222" s="7"/>
      <c r="J1222" s="7"/>
      <c r="K1222" s="7"/>
      <c r="L1222" s="7"/>
      <c r="M1222" s="7"/>
      <c r="N1222" s="7">
        <v>0</v>
      </c>
      <c r="O1222" s="7">
        <v>94</v>
      </c>
      <c r="P1222" s="349">
        <v>94</v>
      </c>
      <c r="Q1222" s="257">
        <v>100</v>
      </c>
    </row>
    <row r="1223" spans="1:17" s="30" customFormat="1">
      <c r="A1223" s="8" t="s">
        <v>373</v>
      </c>
      <c r="B1223" s="10" t="s">
        <v>510</v>
      </c>
      <c r="C1223" s="10">
        <v>10</v>
      </c>
      <c r="D1223" s="10" t="s">
        <v>26</v>
      </c>
      <c r="E1223" s="10" t="s">
        <v>250</v>
      </c>
      <c r="F1223" s="10" t="s">
        <v>372</v>
      </c>
      <c r="G1223" s="11"/>
      <c r="H1223" s="11"/>
      <c r="I1223" s="7"/>
      <c r="J1223" s="7"/>
      <c r="K1223" s="7"/>
      <c r="L1223" s="7"/>
      <c r="M1223" s="7"/>
      <c r="N1223" s="7">
        <v>0</v>
      </c>
      <c r="O1223" s="7">
        <v>94</v>
      </c>
      <c r="P1223" s="349">
        <v>94</v>
      </c>
      <c r="Q1223" s="257">
        <v>100</v>
      </c>
    </row>
    <row r="1224" spans="1:17" s="30" customFormat="1" ht="31.5">
      <c r="A1224" s="8" t="s">
        <v>184</v>
      </c>
      <c r="B1224" s="10" t="s">
        <v>510</v>
      </c>
      <c r="C1224" s="10">
        <v>10</v>
      </c>
      <c r="D1224" s="10" t="s">
        <v>26</v>
      </c>
      <c r="E1224" s="10" t="s">
        <v>185</v>
      </c>
      <c r="F1224" s="10"/>
      <c r="G1224" s="11"/>
      <c r="H1224" s="11"/>
      <c r="I1224" s="7"/>
      <c r="J1224" s="7"/>
      <c r="K1224" s="7"/>
      <c r="L1224" s="7">
        <f>L1225+L1226</f>
        <v>0</v>
      </c>
      <c r="M1224" s="7">
        <f>M1225+M1226</f>
        <v>1719</v>
      </c>
      <c r="N1224" s="7">
        <v>1719</v>
      </c>
      <c r="O1224" s="7">
        <v>1719</v>
      </c>
      <c r="P1224" s="349">
        <v>1719</v>
      </c>
      <c r="Q1224" s="257">
        <v>100</v>
      </c>
    </row>
    <row r="1225" spans="1:17" s="30" customFormat="1" ht="31.5">
      <c r="A1225" s="8" t="s">
        <v>361</v>
      </c>
      <c r="B1225" s="10" t="s">
        <v>510</v>
      </c>
      <c r="C1225" s="10">
        <v>10</v>
      </c>
      <c r="D1225" s="10" t="s">
        <v>26</v>
      </c>
      <c r="E1225" s="10" t="s">
        <v>185</v>
      </c>
      <c r="F1225" s="10" t="s">
        <v>333</v>
      </c>
      <c r="G1225" s="11"/>
      <c r="H1225" s="11"/>
      <c r="I1225" s="7"/>
      <c r="J1225" s="7"/>
      <c r="K1225" s="7"/>
      <c r="L1225" s="7"/>
      <c r="M1225" s="7">
        <v>380</v>
      </c>
      <c r="N1225" s="7">
        <v>380</v>
      </c>
      <c r="O1225" s="7">
        <v>380</v>
      </c>
      <c r="P1225" s="349">
        <v>380</v>
      </c>
      <c r="Q1225" s="257">
        <v>100</v>
      </c>
    </row>
    <row r="1226" spans="1:17" s="30" customFormat="1">
      <c r="A1226" s="8" t="s">
        <v>373</v>
      </c>
      <c r="B1226" s="10" t="s">
        <v>510</v>
      </c>
      <c r="C1226" s="10">
        <v>10</v>
      </c>
      <c r="D1226" s="10" t="s">
        <v>26</v>
      </c>
      <c r="E1226" s="10" t="s">
        <v>185</v>
      </c>
      <c r="F1226" s="10" t="s">
        <v>372</v>
      </c>
      <c r="G1226" s="11"/>
      <c r="H1226" s="11"/>
      <c r="I1226" s="7"/>
      <c r="J1226" s="7"/>
      <c r="K1226" s="7"/>
      <c r="L1226" s="7"/>
      <c r="M1226" s="7">
        <v>1339</v>
      </c>
      <c r="N1226" s="7">
        <v>1339</v>
      </c>
      <c r="O1226" s="7">
        <v>1339</v>
      </c>
      <c r="P1226" s="349">
        <v>1339</v>
      </c>
      <c r="Q1226" s="257">
        <v>100</v>
      </c>
    </row>
    <row r="1227" spans="1:17" s="30" customFormat="1">
      <c r="A1227" s="8" t="s">
        <v>311</v>
      </c>
      <c r="B1227" s="10" t="s">
        <v>510</v>
      </c>
      <c r="C1227" s="10">
        <v>10</v>
      </c>
      <c r="D1227" s="10" t="s">
        <v>26</v>
      </c>
      <c r="E1227" s="10" t="s">
        <v>312</v>
      </c>
      <c r="F1227" s="10"/>
      <c r="G1227" s="11"/>
      <c r="H1227" s="11"/>
      <c r="I1227" s="7"/>
      <c r="J1227" s="7"/>
      <c r="K1227" s="7"/>
      <c r="L1227" s="7">
        <f>L1228</f>
        <v>0</v>
      </c>
      <c r="M1227" s="7">
        <f t="shared" ref="M1227:M1228" si="473">M1228</f>
        <v>14.2</v>
      </c>
      <c r="N1227" s="7">
        <v>14.2</v>
      </c>
      <c r="O1227" s="7">
        <v>14.2</v>
      </c>
      <c r="P1227" s="349">
        <v>0</v>
      </c>
      <c r="Q1227" s="257">
        <v>0</v>
      </c>
    </row>
    <row r="1228" spans="1:17" s="30" customFormat="1" ht="47.25">
      <c r="A1228" s="33" t="s">
        <v>764</v>
      </c>
      <c r="B1228" s="10" t="s">
        <v>510</v>
      </c>
      <c r="C1228" s="10">
        <v>10</v>
      </c>
      <c r="D1228" s="10" t="s">
        <v>26</v>
      </c>
      <c r="E1228" s="10" t="s">
        <v>763</v>
      </c>
      <c r="F1228" s="10"/>
      <c r="G1228" s="11"/>
      <c r="H1228" s="11"/>
      <c r="I1228" s="7"/>
      <c r="J1228" s="7"/>
      <c r="K1228" s="7"/>
      <c r="L1228" s="7">
        <f>L1229</f>
        <v>0</v>
      </c>
      <c r="M1228" s="7">
        <f t="shared" si="473"/>
        <v>14.2</v>
      </c>
      <c r="N1228" s="7">
        <v>14.2</v>
      </c>
      <c r="O1228" s="7">
        <v>14.2</v>
      </c>
      <c r="P1228" s="349">
        <v>0</v>
      </c>
      <c r="Q1228" s="257">
        <v>0</v>
      </c>
    </row>
    <row r="1229" spans="1:17" s="30" customFormat="1">
      <c r="A1229" s="8" t="s">
        <v>373</v>
      </c>
      <c r="B1229" s="10" t="s">
        <v>510</v>
      </c>
      <c r="C1229" s="10">
        <v>10</v>
      </c>
      <c r="D1229" s="10" t="s">
        <v>26</v>
      </c>
      <c r="E1229" s="10" t="s">
        <v>763</v>
      </c>
      <c r="F1229" s="10" t="s">
        <v>372</v>
      </c>
      <c r="G1229" s="11"/>
      <c r="H1229" s="11"/>
      <c r="I1229" s="7"/>
      <c r="J1229" s="7"/>
      <c r="K1229" s="7"/>
      <c r="L1229" s="7"/>
      <c r="M1229" s="7">
        <v>14.2</v>
      </c>
      <c r="N1229" s="7">
        <v>14.2</v>
      </c>
      <c r="O1229" s="7">
        <v>14.2</v>
      </c>
      <c r="P1229" s="349">
        <v>0</v>
      </c>
      <c r="Q1229" s="257">
        <v>0</v>
      </c>
    </row>
    <row r="1230" spans="1:17" s="30" customFormat="1" ht="94.5">
      <c r="A1230" s="8" t="s">
        <v>1055</v>
      </c>
      <c r="B1230" s="10" t="s">
        <v>510</v>
      </c>
      <c r="C1230" s="10">
        <v>10</v>
      </c>
      <c r="D1230" s="10" t="s">
        <v>26</v>
      </c>
      <c r="E1230" s="10" t="s">
        <v>1054</v>
      </c>
      <c r="F1230" s="10"/>
      <c r="G1230" s="11"/>
      <c r="H1230" s="11"/>
      <c r="I1230" s="7"/>
      <c r="J1230" s="7"/>
      <c r="K1230" s="7"/>
      <c r="L1230" s="7"/>
      <c r="M1230" s="7"/>
      <c r="N1230" s="7">
        <v>0</v>
      </c>
      <c r="O1230" s="7">
        <v>6342.6</v>
      </c>
      <c r="P1230" s="349">
        <v>6342.6</v>
      </c>
      <c r="Q1230" s="257">
        <v>100</v>
      </c>
    </row>
    <row r="1231" spans="1:17" s="30" customFormat="1">
      <c r="A1231" s="8" t="s">
        <v>373</v>
      </c>
      <c r="B1231" s="10" t="s">
        <v>510</v>
      </c>
      <c r="C1231" s="10">
        <v>10</v>
      </c>
      <c r="D1231" s="10" t="s">
        <v>26</v>
      </c>
      <c r="E1231" s="10" t="s">
        <v>1054</v>
      </c>
      <c r="F1231" s="10" t="s">
        <v>372</v>
      </c>
      <c r="G1231" s="11"/>
      <c r="H1231" s="11"/>
      <c r="I1231" s="7"/>
      <c r="J1231" s="7"/>
      <c r="K1231" s="7"/>
      <c r="L1231" s="7"/>
      <c r="M1231" s="7"/>
      <c r="N1231" s="7">
        <v>0</v>
      </c>
      <c r="O1231" s="7">
        <v>4120.6000000000004</v>
      </c>
      <c r="P1231" s="349">
        <v>4120.6000000000004</v>
      </c>
      <c r="Q1231" s="257">
        <v>100</v>
      </c>
    </row>
    <row r="1232" spans="1:17" s="30" customFormat="1">
      <c r="A1232" s="8" t="s">
        <v>367</v>
      </c>
      <c r="B1232" s="10" t="s">
        <v>510</v>
      </c>
      <c r="C1232" s="10">
        <v>10</v>
      </c>
      <c r="D1232" s="10" t="s">
        <v>26</v>
      </c>
      <c r="E1232" s="10" t="s">
        <v>1054</v>
      </c>
      <c r="F1232" s="10" t="s">
        <v>365</v>
      </c>
      <c r="G1232" s="11"/>
      <c r="H1232" s="11"/>
      <c r="I1232" s="7"/>
      <c r="J1232" s="7"/>
      <c r="K1232" s="7"/>
      <c r="L1232" s="7"/>
      <c r="M1232" s="7"/>
      <c r="N1232" s="7">
        <v>0</v>
      </c>
      <c r="O1232" s="7">
        <v>2222</v>
      </c>
      <c r="P1232" s="349">
        <v>2222</v>
      </c>
      <c r="Q1232" s="257">
        <v>100</v>
      </c>
    </row>
    <row r="1233" spans="1:17" s="12" customFormat="1">
      <c r="A1233" s="8" t="s">
        <v>17</v>
      </c>
      <c r="B1233" s="10" t="s">
        <v>510</v>
      </c>
      <c r="C1233" s="10">
        <v>10</v>
      </c>
      <c r="D1233" s="10" t="s">
        <v>26</v>
      </c>
      <c r="E1233" s="10" t="s">
        <v>18</v>
      </c>
      <c r="F1233" s="10"/>
      <c r="G1233" s="11">
        <v>610</v>
      </c>
      <c r="H1233" s="11">
        <v>610</v>
      </c>
      <c r="I1233" s="7">
        <f>I1234+I1239+I1250+I1241+I1247+I1244</f>
        <v>1906.5</v>
      </c>
      <c r="J1233" s="7">
        <f t="shared" ref="J1233:M1233" si="474">J1234+J1239+J1250+J1241+J1247+J1244+J1236</f>
        <v>2516.5</v>
      </c>
      <c r="K1233" s="7">
        <f t="shared" si="474"/>
        <v>12671.9</v>
      </c>
      <c r="L1233" s="7">
        <f t="shared" si="474"/>
        <v>15188.4</v>
      </c>
      <c r="M1233" s="7">
        <f t="shared" si="474"/>
        <v>7380.7</v>
      </c>
      <c r="N1233" s="7">
        <v>22569.1</v>
      </c>
      <c r="O1233" s="7">
        <v>22569.1</v>
      </c>
      <c r="P1233" s="349">
        <v>19876.900000000001</v>
      </c>
      <c r="Q1233" s="257">
        <v>88.07</v>
      </c>
    </row>
    <row r="1234" spans="1:17" s="12" customFormat="1" ht="31.5">
      <c r="A1234" s="8" t="s">
        <v>637</v>
      </c>
      <c r="B1234" s="10" t="s">
        <v>510</v>
      </c>
      <c r="C1234" s="10">
        <v>10</v>
      </c>
      <c r="D1234" s="10" t="s">
        <v>26</v>
      </c>
      <c r="E1234" s="10" t="s">
        <v>638</v>
      </c>
      <c r="F1234" s="10"/>
      <c r="G1234" s="11">
        <v>145</v>
      </c>
      <c r="H1234" s="31">
        <v>145</v>
      </c>
      <c r="I1234" s="7">
        <f t="shared" ref="I1234:M1234" si="475">I1235</f>
        <v>0</v>
      </c>
      <c r="J1234" s="7">
        <f t="shared" si="475"/>
        <v>145</v>
      </c>
      <c r="K1234" s="7">
        <f t="shared" si="475"/>
        <v>0</v>
      </c>
      <c r="L1234" s="7">
        <f t="shared" si="475"/>
        <v>145</v>
      </c>
      <c r="M1234" s="7">
        <f t="shared" si="475"/>
        <v>0</v>
      </c>
      <c r="N1234" s="7">
        <v>145</v>
      </c>
      <c r="O1234" s="7">
        <v>145</v>
      </c>
      <c r="P1234" s="349">
        <v>145</v>
      </c>
      <c r="Q1234" s="257">
        <v>100</v>
      </c>
    </row>
    <row r="1235" spans="1:17" s="12" customFormat="1">
      <c r="A1235" s="8" t="s">
        <v>373</v>
      </c>
      <c r="B1235" s="10" t="s">
        <v>510</v>
      </c>
      <c r="C1235" s="10">
        <v>10</v>
      </c>
      <c r="D1235" s="10" t="s">
        <v>26</v>
      </c>
      <c r="E1235" s="10" t="s">
        <v>638</v>
      </c>
      <c r="F1235" s="10" t="s">
        <v>372</v>
      </c>
      <c r="G1235" s="11">
        <v>145</v>
      </c>
      <c r="H1235" s="31">
        <v>145</v>
      </c>
      <c r="I1235" s="7"/>
      <c r="J1235" s="7">
        <f>H1235+I1235</f>
        <v>145</v>
      </c>
      <c r="K1235" s="7"/>
      <c r="L1235" s="7">
        <f>J1235+K1235</f>
        <v>145</v>
      </c>
      <c r="M1235" s="7"/>
      <c r="N1235" s="7">
        <v>145</v>
      </c>
      <c r="O1235" s="7">
        <v>145</v>
      </c>
      <c r="P1235" s="349">
        <v>145</v>
      </c>
      <c r="Q1235" s="257">
        <v>100</v>
      </c>
    </row>
    <row r="1236" spans="1:17" s="12" customFormat="1" ht="47.25">
      <c r="A1236" s="8" t="s">
        <v>221</v>
      </c>
      <c r="B1236" s="10" t="s">
        <v>510</v>
      </c>
      <c r="C1236" s="10">
        <v>10</v>
      </c>
      <c r="D1236" s="10" t="s">
        <v>26</v>
      </c>
      <c r="E1236" s="10" t="s">
        <v>222</v>
      </c>
      <c r="F1236" s="10"/>
      <c r="G1236" s="11"/>
      <c r="H1236" s="31"/>
      <c r="I1236" s="7"/>
      <c r="J1236" s="7">
        <f t="shared" ref="J1236:M1237" si="476">J1237</f>
        <v>0</v>
      </c>
      <c r="K1236" s="7">
        <f t="shared" si="476"/>
        <v>1200</v>
      </c>
      <c r="L1236" s="7">
        <f t="shared" si="476"/>
        <v>1200</v>
      </c>
      <c r="M1236" s="7">
        <f t="shared" si="476"/>
        <v>0</v>
      </c>
      <c r="N1236" s="7">
        <v>1200</v>
      </c>
      <c r="O1236" s="7">
        <v>1200</v>
      </c>
      <c r="P1236" s="349">
        <v>1200</v>
      </c>
      <c r="Q1236" s="257">
        <v>100</v>
      </c>
    </row>
    <row r="1237" spans="1:17" s="12" customFormat="1" ht="31.5">
      <c r="A1237" s="9" t="s">
        <v>877</v>
      </c>
      <c r="B1237" s="10" t="s">
        <v>510</v>
      </c>
      <c r="C1237" s="10">
        <v>10</v>
      </c>
      <c r="D1237" s="10" t="s">
        <v>26</v>
      </c>
      <c r="E1237" s="10" t="s">
        <v>588</v>
      </c>
      <c r="F1237" s="10"/>
      <c r="G1237" s="11"/>
      <c r="H1237" s="31"/>
      <c r="I1237" s="7"/>
      <c r="J1237" s="7">
        <f t="shared" si="476"/>
        <v>0</v>
      </c>
      <c r="K1237" s="7">
        <f t="shared" si="476"/>
        <v>1200</v>
      </c>
      <c r="L1237" s="7">
        <f t="shared" si="476"/>
        <v>1200</v>
      </c>
      <c r="M1237" s="7">
        <f t="shared" si="476"/>
        <v>0</v>
      </c>
      <c r="N1237" s="7">
        <v>1200</v>
      </c>
      <c r="O1237" s="7">
        <v>1200</v>
      </c>
      <c r="P1237" s="349">
        <v>1200</v>
      </c>
      <c r="Q1237" s="257">
        <v>100</v>
      </c>
    </row>
    <row r="1238" spans="1:17" s="12" customFormat="1">
      <c r="A1238" s="8" t="s">
        <v>373</v>
      </c>
      <c r="B1238" s="10" t="s">
        <v>510</v>
      </c>
      <c r="C1238" s="10">
        <v>10</v>
      </c>
      <c r="D1238" s="10" t="s">
        <v>26</v>
      </c>
      <c r="E1238" s="10" t="s">
        <v>588</v>
      </c>
      <c r="F1238" s="10" t="s">
        <v>372</v>
      </c>
      <c r="G1238" s="11"/>
      <c r="H1238" s="31"/>
      <c r="I1238" s="7"/>
      <c r="J1238" s="7"/>
      <c r="K1238" s="7">
        <v>1200</v>
      </c>
      <c r="L1238" s="7">
        <f>J1238+K1238</f>
        <v>1200</v>
      </c>
      <c r="M1238" s="7"/>
      <c r="N1238" s="7">
        <v>1200</v>
      </c>
      <c r="O1238" s="7">
        <v>1200</v>
      </c>
      <c r="P1238" s="349">
        <v>1200</v>
      </c>
      <c r="Q1238" s="257">
        <v>100</v>
      </c>
    </row>
    <row r="1239" spans="1:17" s="12" customFormat="1" ht="31.5">
      <c r="A1239" s="8" t="s">
        <v>671</v>
      </c>
      <c r="B1239" s="10" t="s">
        <v>510</v>
      </c>
      <c r="C1239" s="10">
        <v>10</v>
      </c>
      <c r="D1239" s="10" t="s">
        <v>26</v>
      </c>
      <c r="E1239" s="10" t="s">
        <v>639</v>
      </c>
      <c r="F1239" s="10"/>
      <c r="G1239" s="11">
        <v>300</v>
      </c>
      <c r="H1239" s="31">
        <v>300</v>
      </c>
      <c r="I1239" s="7">
        <f t="shared" ref="I1239:M1239" si="477">I1240</f>
        <v>0</v>
      </c>
      <c r="J1239" s="7">
        <f t="shared" si="477"/>
        <v>300</v>
      </c>
      <c r="K1239" s="7">
        <f t="shared" si="477"/>
        <v>0</v>
      </c>
      <c r="L1239" s="7">
        <f t="shared" si="477"/>
        <v>300</v>
      </c>
      <c r="M1239" s="7">
        <f t="shared" si="477"/>
        <v>0</v>
      </c>
      <c r="N1239" s="7">
        <v>300</v>
      </c>
      <c r="O1239" s="7">
        <v>300</v>
      </c>
      <c r="P1239" s="349">
        <v>300</v>
      </c>
      <c r="Q1239" s="257">
        <v>100</v>
      </c>
    </row>
    <row r="1240" spans="1:17" s="12" customFormat="1">
      <c r="A1240" s="8" t="s">
        <v>367</v>
      </c>
      <c r="B1240" s="10" t="s">
        <v>510</v>
      </c>
      <c r="C1240" s="10">
        <v>10</v>
      </c>
      <c r="D1240" s="10" t="s">
        <v>26</v>
      </c>
      <c r="E1240" s="10" t="s">
        <v>639</v>
      </c>
      <c r="F1240" s="10" t="s">
        <v>365</v>
      </c>
      <c r="G1240" s="11">
        <v>300</v>
      </c>
      <c r="H1240" s="31">
        <v>300</v>
      </c>
      <c r="I1240" s="7"/>
      <c r="J1240" s="7">
        <f>H1240+I1240</f>
        <v>300</v>
      </c>
      <c r="K1240" s="7"/>
      <c r="L1240" s="7">
        <f>J1240+K1240</f>
        <v>300</v>
      </c>
      <c r="M1240" s="7"/>
      <c r="N1240" s="7">
        <v>300</v>
      </c>
      <c r="O1240" s="7">
        <v>300</v>
      </c>
      <c r="P1240" s="349">
        <v>300</v>
      </c>
      <c r="Q1240" s="257">
        <v>100</v>
      </c>
    </row>
    <row r="1241" spans="1:17" s="12" customFormat="1" ht="63">
      <c r="A1241" s="8" t="s">
        <v>843</v>
      </c>
      <c r="B1241" s="10" t="s">
        <v>510</v>
      </c>
      <c r="C1241" s="10">
        <v>10</v>
      </c>
      <c r="D1241" s="10" t="s">
        <v>26</v>
      </c>
      <c r="E1241" s="10" t="s">
        <v>842</v>
      </c>
      <c r="F1241" s="10"/>
      <c r="G1241" s="11"/>
      <c r="H1241" s="31">
        <f>H1242</f>
        <v>0</v>
      </c>
      <c r="I1241" s="31">
        <f>I1242</f>
        <v>0.5</v>
      </c>
      <c r="J1241" s="31">
        <f t="shared" ref="J1241:M1241" si="478">J1242+J1243</f>
        <v>0.5</v>
      </c>
      <c r="K1241" s="31">
        <f t="shared" si="478"/>
        <v>5902.7</v>
      </c>
      <c r="L1241" s="31">
        <f t="shared" si="478"/>
        <v>5903.2</v>
      </c>
      <c r="M1241" s="31">
        <f t="shared" si="478"/>
        <v>3934.6</v>
      </c>
      <c r="N1241" s="31">
        <v>9837.7999999999993</v>
      </c>
      <c r="O1241" s="36">
        <v>9837.7999999999993</v>
      </c>
      <c r="P1241" s="350">
        <v>8156.7</v>
      </c>
      <c r="Q1241" s="257">
        <v>82.91</v>
      </c>
    </row>
    <row r="1242" spans="1:17" s="12" customFormat="1">
      <c r="A1242" s="8" t="s">
        <v>373</v>
      </c>
      <c r="B1242" s="10" t="s">
        <v>510</v>
      </c>
      <c r="C1242" s="10">
        <v>10</v>
      </c>
      <c r="D1242" s="10" t="s">
        <v>26</v>
      </c>
      <c r="E1242" s="10" t="s">
        <v>842</v>
      </c>
      <c r="F1242" s="10" t="s">
        <v>372</v>
      </c>
      <c r="G1242" s="11"/>
      <c r="H1242" s="31"/>
      <c r="I1242" s="7">
        <v>0.5</v>
      </c>
      <c r="J1242" s="7">
        <f>H1242+I1242</f>
        <v>0.5</v>
      </c>
      <c r="K1242" s="7">
        <v>1440</v>
      </c>
      <c r="L1242" s="7">
        <f>J1242+K1242</f>
        <v>1440.5</v>
      </c>
      <c r="M1242" s="7">
        <f>-0.5+1777.5</f>
        <v>1777</v>
      </c>
      <c r="N1242" s="7">
        <v>3217.5</v>
      </c>
      <c r="O1242" s="7">
        <v>3217.5</v>
      </c>
      <c r="P1242" s="349">
        <v>2427</v>
      </c>
      <c r="Q1242" s="257">
        <v>75.430000000000007</v>
      </c>
    </row>
    <row r="1243" spans="1:17" s="12" customFormat="1">
      <c r="A1243" s="8" t="s">
        <v>367</v>
      </c>
      <c r="B1243" s="10" t="s">
        <v>510</v>
      </c>
      <c r="C1243" s="10">
        <v>10</v>
      </c>
      <c r="D1243" s="10" t="s">
        <v>26</v>
      </c>
      <c r="E1243" s="10" t="s">
        <v>842</v>
      </c>
      <c r="F1243" s="10" t="s">
        <v>365</v>
      </c>
      <c r="G1243" s="11"/>
      <c r="H1243" s="31"/>
      <c r="I1243" s="7"/>
      <c r="J1243" s="7"/>
      <c r="K1243" s="7">
        <v>4462.7</v>
      </c>
      <c r="L1243" s="7">
        <f>J1243+K1243</f>
        <v>4462.7</v>
      </c>
      <c r="M1243" s="7">
        <v>2157.6</v>
      </c>
      <c r="N1243" s="7">
        <v>6620.3</v>
      </c>
      <c r="O1243" s="7">
        <v>6620.3</v>
      </c>
      <c r="P1243" s="349">
        <v>5729.7</v>
      </c>
      <c r="Q1243" s="257">
        <v>86.55</v>
      </c>
    </row>
    <row r="1244" spans="1:17" s="12" customFormat="1" ht="31.5">
      <c r="A1244" s="8" t="s">
        <v>867</v>
      </c>
      <c r="B1244" s="10" t="s">
        <v>510</v>
      </c>
      <c r="C1244" s="10">
        <v>10</v>
      </c>
      <c r="D1244" s="10" t="s">
        <v>26</v>
      </c>
      <c r="E1244" s="10" t="s">
        <v>866</v>
      </c>
      <c r="F1244" s="10"/>
      <c r="G1244" s="11"/>
      <c r="H1244" s="31">
        <f t="shared" ref="H1244:M1244" si="479">H1245+H1246</f>
        <v>0</v>
      </c>
      <c r="I1244" s="31">
        <f t="shared" si="479"/>
        <v>106</v>
      </c>
      <c r="J1244" s="31">
        <f t="shared" si="479"/>
        <v>106</v>
      </c>
      <c r="K1244" s="31">
        <f t="shared" si="479"/>
        <v>0</v>
      </c>
      <c r="L1244" s="31">
        <f t="shared" si="479"/>
        <v>106</v>
      </c>
      <c r="M1244" s="31">
        <f t="shared" si="479"/>
        <v>0</v>
      </c>
      <c r="N1244" s="31">
        <v>106</v>
      </c>
      <c r="O1244" s="36">
        <v>106</v>
      </c>
      <c r="P1244" s="350">
        <v>106</v>
      </c>
      <c r="Q1244" s="257">
        <v>100</v>
      </c>
    </row>
    <row r="1245" spans="1:17" s="12" customFormat="1">
      <c r="A1245" s="8" t="s">
        <v>373</v>
      </c>
      <c r="B1245" s="10" t="s">
        <v>510</v>
      </c>
      <c r="C1245" s="10">
        <v>10</v>
      </c>
      <c r="D1245" s="10" t="s">
        <v>26</v>
      </c>
      <c r="E1245" s="10" t="s">
        <v>866</v>
      </c>
      <c r="F1245" s="10" t="s">
        <v>372</v>
      </c>
      <c r="G1245" s="11"/>
      <c r="H1245" s="31"/>
      <c r="I1245" s="40">
        <v>48</v>
      </c>
      <c r="J1245" s="7">
        <f>H1245+I1245</f>
        <v>48</v>
      </c>
      <c r="K1245" s="7"/>
      <c r="L1245" s="7">
        <f>J1245+K1245</f>
        <v>48</v>
      </c>
      <c r="M1245" s="7"/>
      <c r="N1245" s="7">
        <v>48</v>
      </c>
      <c r="O1245" s="7">
        <v>48</v>
      </c>
      <c r="P1245" s="349">
        <v>48</v>
      </c>
      <c r="Q1245" s="257">
        <v>100</v>
      </c>
    </row>
    <row r="1246" spans="1:17" s="12" customFormat="1">
      <c r="A1246" s="8" t="s">
        <v>367</v>
      </c>
      <c r="B1246" s="10" t="s">
        <v>510</v>
      </c>
      <c r="C1246" s="10">
        <v>10</v>
      </c>
      <c r="D1246" s="10" t="s">
        <v>26</v>
      </c>
      <c r="E1246" s="10" t="s">
        <v>866</v>
      </c>
      <c r="F1246" s="10" t="s">
        <v>365</v>
      </c>
      <c r="G1246" s="11"/>
      <c r="H1246" s="31"/>
      <c r="I1246" s="40">
        <v>58</v>
      </c>
      <c r="J1246" s="7">
        <f>H1246+I1246</f>
        <v>58</v>
      </c>
      <c r="K1246" s="7"/>
      <c r="L1246" s="7">
        <f>J1246+K1246</f>
        <v>58</v>
      </c>
      <c r="M1246" s="7"/>
      <c r="N1246" s="7">
        <v>58</v>
      </c>
      <c r="O1246" s="7">
        <v>58</v>
      </c>
      <c r="P1246" s="349">
        <v>58</v>
      </c>
      <c r="Q1246" s="257">
        <v>100</v>
      </c>
    </row>
    <row r="1247" spans="1:17" s="12" customFormat="1" ht="63">
      <c r="A1247" s="6" t="s">
        <v>845</v>
      </c>
      <c r="B1247" s="10" t="s">
        <v>510</v>
      </c>
      <c r="C1247" s="10">
        <v>10</v>
      </c>
      <c r="D1247" s="10" t="s">
        <v>26</v>
      </c>
      <c r="E1247" s="10" t="s">
        <v>844</v>
      </c>
      <c r="F1247" s="10"/>
      <c r="G1247" s="11"/>
      <c r="H1247" s="31">
        <f>H1248</f>
        <v>0</v>
      </c>
      <c r="I1247" s="31">
        <f>I1248</f>
        <v>0</v>
      </c>
      <c r="J1247" s="31">
        <f t="shared" ref="J1247:M1247" si="480">J1248+J1249</f>
        <v>0</v>
      </c>
      <c r="K1247" s="31">
        <f t="shared" si="480"/>
        <v>4869.2</v>
      </c>
      <c r="L1247" s="31">
        <f t="shared" si="480"/>
        <v>4869.2</v>
      </c>
      <c r="M1247" s="31">
        <f t="shared" si="480"/>
        <v>3246.1</v>
      </c>
      <c r="N1247" s="31">
        <v>8115.3</v>
      </c>
      <c r="O1247" s="36">
        <v>8115.3</v>
      </c>
      <c r="P1247" s="350">
        <v>7104.7</v>
      </c>
      <c r="Q1247" s="257">
        <v>87.55</v>
      </c>
    </row>
    <row r="1248" spans="1:17" s="12" customFormat="1">
      <c r="A1248" s="8" t="s">
        <v>373</v>
      </c>
      <c r="B1248" s="10" t="s">
        <v>510</v>
      </c>
      <c r="C1248" s="10">
        <v>10</v>
      </c>
      <c r="D1248" s="10" t="s">
        <v>26</v>
      </c>
      <c r="E1248" s="10" t="s">
        <v>844</v>
      </c>
      <c r="F1248" s="10" t="s">
        <v>372</v>
      </c>
      <c r="G1248" s="11"/>
      <c r="H1248" s="31"/>
      <c r="I1248" s="7"/>
      <c r="J1248" s="7">
        <f>H1248+I1248</f>
        <v>0</v>
      </c>
      <c r="K1248" s="7">
        <v>930.2</v>
      </c>
      <c r="L1248" s="7">
        <f>J1248+K1248</f>
        <v>930.2</v>
      </c>
      <c r="M1248" s="7">
        <v>1527.9</v>
      </c>
      <c r="N1248" s="7">
        <v>2458.1</v>
      </c>
      <c r="O1248" s="7">
        <v>2458.1</v>
      </c>
      <c r="P1248" s="349">
        <v>1945.8</v>
      </c>
      <c r="Q1248" s="257">
        <v>79.16</v>
      </c>
    </row>
    <row r="1249" spans="1:17" s="12" customFormat="1">
      <c r="A1249" s="8" t="s">
        <v>367</v>
      </c>
      <c r="B1249" s="10" t="s">
        <v>510</v>
      </c>
      <c r="C1249" s="10">
        <v>10</v>
      </c>
      <c r="D1249" s="10" t="s">
        <v>26</v>
      </c>
      <c r="E1249" s="10" t="s">
        <v>844</v>
      </c>
      <c r="F1249" s="10" t="s">
        <v>365</v>
      </c>
      <c r="G1249" s="11"/>
      <c r="H1249" s="31"/>
      <c r="I1249" s="7"/>
      <c r="J1249" s="7"/>
      <c r="K1249" s="7">
        <v>3939</v>
      </c>
      <c r="L1249" s="7">
        <f>J1249+K1249</f>
        <v>3939</v>
      </c>
      <c r="M1249" s="7">
        <v>1718.2</v>
      </c>
      <c r="N1249" s="7">
        <v>5657.2</v>
      </c>
      <c r="O1249" s="7">
        <v>5657.2</v>
      </c>
      <c r="P1249" s="349">
        <v>5158.8999999999996</v>
      </c>
      <c r="Q1249" s="257">
        <v>91.19</v>
      </c>
    </row>
    <row r="1250" spans="1:17" s="12" customFormat="1">
      <c r="A1250" s="8" t="s">
        <v>1009</v>
      </c>
      <c r="B1250" s="10" t="s">
        <v>510</v>
      </c>
      <c r="C1250" s="10">
        <v>10</v>
      </c>
      <c r="D1250" s="10" t="s">
        <v>26</v>
      </c>
      <c r="E1250" s="10" t="s">
        <v>66</v>
      </c>
      <c r="F1250" s="10"/>
      <c r="G1250" s="11">
        <v>165</v>
      </c>
      <c r="H1250" s="31">
        <v>165</v>
      </c>
      <c r="I1250" s="7">
        <f t="shared" ref="I1250:M1250" si="481">I1251+I1252</f>
        <v>1800</v>
      </c>
      <c r="J1250" s="7">
        <f t="shared" si="481"/>
        <v>1965</v>
      </c>
      <c r="K1250" s="7">
        <f t="shared" si="481"/>
        <v>700</v>
      </c>
      <c r="L1250" s="7">
        <f t="shared" si="481"/>
        <v>2665</v>
      </c>
      <c r="M1250" s="7">
        <f t="shared" si="481"/>
        <v>200</v>
      </c>
      <c r="N1250" s="7">
        <v>2865</v>
      </c>
      <c r="O1250" s="7">
        <v>2865</v>
      </c>
      <c r="P1250" s="349">
        <v>2864.5</v>
      </c>
      <c r="Q1250" s="257">
        <v>99.98</v>
      </c>
    </row>
    <row r="1251" spans="1:17" s="12" customFormat="1">
      <c r="A1251" s="8" t="s">
        <v>373</v>
      </c>
      <c r="B1251" s="10" t="s">
        <v>510</v>
      </c>
      <c r="C1251" s="10">
        <v>10</v>
      </c>
      <c r="D1251" s="10" t="s">
        <v>26</v>
      </c>
      <c r="E1251" s="10" t="s">
        <v>66</v>
      </c>
      <c r="F1251" s="10" t="s">
        <v>372</v>
      </c>
      <c r="G1251" s="11">
        <v>165</v>
      </c>
      <c r="H1251" s="31">
        <v>165</v>
      </c>
      <c r="I1251" s="40">
        <v>1400</v>
      </c>
      <c r="J1251" s="7">
        <f>H1251+I1251</f>
        <v>1565</v>
      </c>
      <c r="K1251" s="7">
        <v>200</v>
      </c>
      <c r="L1251" s="7">
        <f>J1251+K1251</f>
        <v>1765</v>
      </c>
      <c r="M1251" s="7"/>
      <c r="N1251" s="7">
        <v>1765</v>
      </c>
      <c r="O1251" s="7">
        <v>1765</v>
      </c>
      <c r="P1251" s="349">
        <v>1764.5</v>
      </c>
      <c r="Q1251" s="257">
        <v>99.97</v>
      </c>
    </row>
    <row r="1252" spans="1:17" s="12" customFormat="1">
      <c r="A1252" s="8" t="s">
        <v>367</v>
      </c>
      <c r="B1252" s="10" t="s">
        <v>510</v>
      </c>
      <c r="C1252" s="10">
        <v>10</v>
      </c>
      <c r="D1252" s="10" t="s">
        <v>26</v>
      </c>
      <c r="E1252" s="10" t="s">
        <v>66</v>
      </c>
      <c r="F1252" s="10" t="s">
        <v>365</v>
      </c>
      <c r="G1252" s="11"/>
      <c r="H1252" s="31"/>
      <c r="I1252" s="40">
        <f>200+200</f>
        <v>400</v>
      </c>
      <c r="J1252" s="7">
        <f>H1252+I1252</f>
        <v>400</v>
      </c>
      <c r="K1252" s="7">
        <v>500</v>
      </c>
      <c r="L1252" s="7">
        <f>J1252+K1252</f>
        <v>900</v>
      </c>
      <c r="M1252" s="7">
        <v>200</v>
      </c>
      <c r="N1252" s="7">
        <v>1100</v>
      </c>
      <c r="O1252" s="7">
        <v>1100</v>
      </c>
      <c r="P1252" s="349">
        <v>1100</v>
      </c>
      <c r="Q1252" s="257">
        <v>100</v>
      </c>
    </row>
    <row r="1253" spans="1:17" s="12" customFormat="1">
      <c r="A1253" s="8" t="s">
        <v>363</v>
      </c>
      <c r="B1253" s="10" t="s">
        <v>510</v>
      </c>
      <c r="C1253" s="10" t="s">
        <v>140</v>
      </c>
      <c r="D1253" s="10" t="s">
        <v>26</v>
      </c>
      <c r="E1253" s="10" t="s">
        <v>364</v>
      </c>
      <c r="F1253" s="10"/>
      <c r="G1253" s="11">
        <v>17957.7</v>
      </c>
      <c r="H1253" s="11">
        <v>222231.5</v>
      </c>
      <c r="I1253" s="7" t="e">
        <f>I1254+#REF!+#REF!</f>
        <v>#REF!</v>
      </c>
      <c r="J1253" s="7" t="e">
        <f>J1254+#REF!+J1278</f>
        <v>#REF!</v>
      </c>
      <c r="K1253" s="7" t="e">
        <f>K1254+#REF!+K1278</f>
        <v>#REF!</v>
      </c>
      <c r="L1253" s="7" t="e">
        <f>L1254+#REF!+L1278</f>
        <v>#REF!</v>
      </c>
      <c r="M1253" s="7" t="e">
        <f>M1254+#REF!+M1278</f>
        <v>#REF!</v>
      </c>
      <c r="N1253" s="7">
        <v>261741.8</v>
      </c>
      <c r="O1253" s="7">
        <v>261741.8</v>
      </c>
      <c r="P1253" s="349">
        <v>260958.8</v>
      </c>
      <c r="Q1253" s="257">
        <v>99.7</v>
      </c>
    </row>
    <row r="1254" spans="1:17" s="12" customFormat="1" ht="31.5">
      <c r="A1254" s="8" t="s">
        <v>635</v>
      </c>
      <c r="B1254" s="10" t="s">
        <v>510</v>
      </c>
      <c r="C1254" s="10" t="s">
        <v>140</v>
      </c>
      <c r="D1254" s="10" t="s">
        <v>26</v>
      </c>
      <c r="E1254" s="10" t="s">
        <v>472</v>
      </c>
      <c r="F1254" s="10"/>
      <c r="G1254" s="11">
        <v>17651.7</v>
      </c>
      <c r="H1254" s="11">
        <v>221925.5</v>
      </c>
      <c r="I1254" s="7">
        <f t="shared" ref="I1254:M1254" si="482">I1255+I1258+I1260+I1267+I1270+I1274</f>
        <v>4200</v>
      </c>
      <c r="J1254" s="7">
        <f t="shared" si="482"/>
        <v>226125.5</v>
      </c>
      <c r="K1254" s="7">
        <f t="shared" si="482"/>
        <v>25458.9</v>
      </c>
      <c r="L1254" s="7">
        <f t="shared" si="482"/>
        <v>251584.4</v>
      </c>
      <c r="M1254" s="7">
        <f t="shared" si="482"/>
        <v>1980</v>
      </c>
      <c r="N1254" s="7">
        <v>253564.4</v>
      </c>
      <c r="O1254" s="7">
        <v>253564.4</v>
      </c>
      <c r="P1254" s="349">
        <v>253554.2</v>
      </c>
      <c r="Q1254" s="257">
        <v>100</v>
      </c>
    </row>
    <row r="1255" spans="1:17" s="12" customFormat="1" ht="47.25">
      <c r="A1255" s="8" t="s">
        <v>1049</v>
      </c>
      <c r="B1255" s="10" t="s">
        <v>510</v>
      </c>
      <c r="C1255" s="10" t="s">
        <v>140</v>
      </c>
      <c r="D1255" s="10" t="s">
        <v>26</v>
      </c>
      <c r="E1255" s="10" t="s">
        <v>457</v>
      </c>
      <c r="F1255" s="10"/>
      <c r="G1255" s="11">
        <v>3118.5</v>
      </c>
      <c r="H1255" s="11">
        <v>15922.6</v>
      </c>
      <c r="I1255" s="7">
        <f t="shared" ref="I1255:M1255" si="483">I1256+I1257</f>
        <v>-900</v>
      </c>
      <c r="J1255" s="7">
        <f t="shared" si="483"/>
        <v>15022.6</v>
      </c>
      <c r="K1255" s="7">
        <f t="shared" si="483"/>
        <v>1905</v>
      </c>
      <c r="L1255" s="7">
        <f t="shared" si="483"/>
        <v>16927.599999999999</v>
      </c>
      <c r="M1255" s="7">
        <f t="shared" si="483"/>
        <v>850</v>
      </c>
      <c r="N1255" s="7">
        <v>17777.599999999999</v>
      </c>
      <c r="O1255" s="7">
        <v>17777.599999999999</v>
      </c>
      <c r="P1255" s="349">
        <v>17777.599999999999</v>
      </c>
      <c r="Q1255" s="257">
        <v>100</v>
      </c>
    </row>
    <row r="1256" spans="1:17" s="12" customFormat="1" ht="47.25">
      <c r="A1256" s="8" t="s">
        <v>366</v>
      </c>
      <c r="B1256" s="10" t="s">
        <v>510</v>
      </c>
      <c r="C1256" s="10" t="s">
        <v>140</v>
      </c>
      <c r="D1256" s="10" t="s">
        <v>26</v>
      </c>
      <c r="E1256" s="10" t="s">
        <v>457</v>
      </c>
      <c r="F1256" s="10" t="s">
        <v>355</v>
      </c>
      <c r="G1256" s="11">
        <v>-1025.8</v>
      </c>
      <c r="H1256" s="31">
        <v>11778.3</v>
      </c>
      <c r="I1256" s="40">
        <v>-200</v>
      </c>
      <c r="J1256" s="7">
        <f>H1256+I1256</f>
        <v>11578.3</v>
      </c>
      <c r="K1256" s="7">
        <f>245+360</f>
        <v>605</v>
      </c>
      <c r="L1256" s="7">
        <f>J1256+K1256</f>
        <v>12183.3</v>
      </c>
      <c r="M1256" s="7">
        <v>550</v>
      </c>
      <c r="N1256" s="7">
        <v>12733.3</v>
      </c>
      <c r="O1256" s="7">
        <v>12733.3</v>
      </c>
      <c r="P1256" s="349">
        <v>12733.3</v>
      </c>
      <c r="Q1256" s="257">
        <v>100</v>
      </c>
    </row>
    <row r="1257" spans="1:17" s="12" customFormat="1">
      <c r="A1257" s="8" t="s">
        <v>367</v>
      </c>
      <c r="B1257" s="10" t="s">
        <v>510</v>
      </c>
      <c r="C1257" s="10" t="s">
        <v>140</v>
      </c>
      <c r="D1257" s="10" t="s">
        <v>26</v>
      </c>
      <c r="E1257" s="10" t="s">
        <v>457</v>
      </c>
      <c r="F1257" s="10" t="s">
        <v>365</v>
      </c>
      <c r="G1257" s="11">
        <v>4144.3</v>
      </c>
      <c r="H1257" s="31">
        <v>4144.3</v>
      </c>
      <c r="I1257" s="40">
        <f>-500-200</f>
        <v>-700</v>
      </c>
      <c r="J1257" s="7">
        <f>H1257+I1257</f>
        <v>3444.3</v>
      </c>
      <c r="K1257" s="7">
        <v>1300</v>
      </c>
      <c r="L1257" s="7">
        <f>J1257+K1257</f>
        <v>4744.3</v>
      </c>
      <c r="M1257" s="7">
        <f>150+150</f>
        <v>300</v>
      </c>
      <c r="N1257" s="7">
        <v>5044.3</v>
      </c>
      <c r="O1257" s="7">
        <v>5044.3</v>
      </c>
      <c r="P1257" s="349">
        <v>5044.3</v>
      </c>
      <c r="Q1257" s="257">
        <v>100</v>
      </c>
    </row>
    <row r="1258" spans="1:17" s="12" customFormat="1" ht="47.25">
      <c r="A1258" s="8" t="s">
        <v>476</v>
      </c>
      <c r="B1258" s="10" t="s">
        <v>510</v>
      </c>
      <c r="C1258" s="10" t="s">
        <v>140</v>
      </c>
      <c r="D1258" s="10" t="s">
        <v>26</v>
      </c>
      <c r="E1258" s="10" t="s">
        <v>458</v>
      </c>
      <c r="F1258" s="10"/>
      <c r="G1258" s="11">
        <v>0</v>
      </c>
      <c r="H1258" s="11">
        <v>20074.3</v>
      </c>
      <c r="I1258" s="7">
        <f t="shared" ref="I1258:M1258" si="484">I1259</f>
        <v>-200</v>
      </c>
      <c r="J1258" s="7">
        <f t="shared" si="484"/>
        <v>19874.3</v>
      </c>
      <c r="K1258" s="7">
        <f t="shared" si="484"/>
        <v>687</v>
      </c>
      <c r="L1258" s="7">
        <f t="shared" si="484"/>
        <v>20561.3</v>
      </c>
      <c r="M1258" s="7">
        <f t="shared" si="484"/>
        <v>150</v>
      </c>
      <c r="N1258" s="7">
        <v>20711.3</v>
      </c>
      <c r="O1258" s="7">
        <v>20711.3</v>
      </c>
      <c r="P1258" s="349">
        <v>20711.3</v>
      </c>
      <c r="Q1258" s="257">
        <v>100</v>
      </c>
    </row>
    <row r="1259" spans="1:17" s="12" customFormat="1" ht="47.25">
      <c r="A1259" s="8" t="s">
        <v>360</v>
      </c>
      <c r="B1259" s="10" t="s">
        <v>510</v>
      </c>
      <c r="C1259" s="10" t="s">
        <v>140</v>
      </c>
      <c r="D1259" s="10" t="s">
        <v>26</v>
      </c>
      <c r="E1259" s="10" t="s">
        <v>458</v>
      </c>
      <c r="F1259" s="10" t="s">
        <v>359</v>
      </c>
      <c r="G1259" s="11">
        <v>0</v>
      </c>
      <c r="H1259" s="31">
        <v>20074.3</v>
      </c>
      <c r="I1259" s="40">
        <v>-200</v>
      </c>
      <c r="J1259" s="7">
        <f>H1259+I1259</f>
        <v>19874.3</v>
      </c>
      <c r="K1259" s="7">
        <v>687</v>
      </c>
      <c r="L1259" s="7">
        <f>J1259+K1259</f>
        <v>20561.3</v>
      </c>
      <c r="M1259" s="7">
        <v>150</v>
      </c>
      <c r="N1259" s="7">
        <v>20711.3</v>
      </c>
      <c r="O1259" s="7">
        <v>20711.3</v>
      </c>
      <c r="P1259" s="349">
        <v>20711.3</v>
      </c>
      <c r="Q1259" s="257">
        <v>100</v>
      </c>
    </row>
    <row r="1260" spans="1:17" s="12" customFormat="1" ht="47.25">
      <c r="A1260" s="8" t="s">
        <v>477</v>
      </c>
      <c r="B1260" s="10" t="s">
        <v>510</v>
      </c>
      <c r="C1260" s="10" t="s">
        <v>140</v>
      </c>
      <c r="D1260" s="10" t="s">
        <v>26</v>
      </c>
      <c r="E1260" s="10" t="s">
        <v>459</v>
      </c>
      <c r="F1260" s="10"/>
      <c r="G1260" s="11">
        <v>622.6</v>
      </c>
      <c r="H1260" s="11">
        <v>10720.6</v>
      </c>
      <c r="I1260" s="7">
        <f t="shared" ref="I1260:M1260" si="485">I1261+I1262+I1263+I1264+I1265+I1266</f>
        <v>0</v>
      </c>
      <c r="J1260" s="7">
        <f t="shared" si="485"/>
        <v>10720.6</v>
      </c>
      <c r="K1260" s="7">
        <f t="shared" si="485"/>
        <v>804.6</v>
      </c>
      <c r="L1260" s="7">
        <f t="shared" si="485"/>
        <v>11525.2</v>
      </c>
      <c r="M1260" s="7">
        <f t="shared" si="485"/>
        <v>0</v>
      </c>
      <c r="N1260" s="7">
        <v>11525.2</v>
      </c>
      <c r="O1260" s="7">
        <v>11525.2</v>
      </c>
      <c r="P1260" s="349">
        <v>11515</v>
      </c>
      <c r="Q1260" s="257">
        <v>99.91</v>
      </c>
    </row>
    <row r="1261" spans="1:17" s="12" customFormat="1">
      <c r="A1261" s="8" t="s">
        <v>337</v>
      </c>
      <c r="B1261" s="10" t="s">
        <v>510</v>
      </c>
      <c r="C1261" s="10" t="s">
        <v>140</v>
      </c>
      <c r="D1261" s="10" t="s">
        <v>26</v>
      </c>
      <c r="E1261" s="10" t="s">
        <v>459</v>
      </c>
      <c r="F1261" s="10" t="s">
        <v>347</v>
      </c>
      <c r="G1261" s="11">
        <v>-857.2</v>
      </c>
      <c r="H1261" s="31">
        <v>7850</v>
      </c>
      <c r="I1261" s="7"/>
      <c r="J1261" s="7">
        <f t="shared" ref="J1261:J1266" si="486">H1261+I1261</f>
        <v>7850</v>
      </c>
      <c r="K1261" s="7">
        <v>144.6</v>
      </c>
      <c r="L1261" s="7">
        <f t="shared" ref="L1261:L1266" si="487">J1261+K1261</f>
        <v>7994.6</v>
      </c>
      <c r="M1261" s="7"/>
      <c r="N1261" s="7">
        <v>7994.6</v>
      </c>
      <c r="O1261" s="7">
        <v>7994.6</v>
      </c>
      <c r="P1261" s="349">
        <v>7984.4</v>
      </c>
      <c r="Q1261" s="257">
        <v>99.87</v>
      </c>
    </row>
    <row r="1262" spans="1:17" s="12" customFormat="1">
      <c r="A1262" s="8" t="s">
        <v>356</v>
      </c>
      <c r="B1262" s="10" t="s">
        <v>510</v>
      </c>
      <c r="C1262" s="10" t="s">
        <v>140</v>
      </c>
      <c r="D1262" s="10" t="s">
        <v>26</v>
      </c>
      <c r="E1262" s="10" t="s">
        <v>459</v>
      </c>
      <c r="F1262" s="10" t="s">
        <v>348</v>
      </c>
      <c r="G1262" s="11">
        <v>665.8</v>
      </c>
      <c r="H1262" s="31">
        <v>665.8</v>
      </c>
      <c r="I1262" s="40">
        <v>22.6</v>
      </c>
      <c r="J1262" s="7">
        <f t="shared" si="486"/>
        <v>688.4</v>
      </c>
      <c r="K1262" s="7">
        <v>-235</v>
      </c>
      <c r="L1262" s="7">
        <f t="shared" si="487"/>
        <v>453.4</v>
      </c>
      <c r="M1262" s="7"/>
      <c r="N1262" s="7">
        <v>453.4</v>
      </c>
      <c r="O1262" s="7">
        <v>453.4</v>
      </c>
      <c r="P1262" s="349">
        <v>453.4</v>
      </c>
      <c r="Q1262" s="257">
        <v>100</v>
      </c>
    </row>
    <row r="1263" spans="1:17" s="12" customFormat="1" ht="31.5">
      <c r="A1263" s="8" t="s">
        <v>361</v>
      </c>
      <c r="B1263" s="10" t="s">
        <v>510</v>
      </c>
      <c r="C1263" s="10" t="s">
        <v>140</v>
      </c>
      <c r="D1263" s="10" t="s">
        <v>26</v>
      </c>
      <c r="E1263" s="10" t="s">
        <v>459</v>
      </c>
      <c r="F1263" s="10" t="s">
        <v>333</v>
      </c>
      <c r="G1263" s="11">
        <v>20</v>
      </c>
      <c r="H1263" s="31">
        <v>20</v>
      </c>
      <c r="I1263" s="40">
        <v>25</v>
      </c>
      <c r="J1263" s="7">
        <f t="shared" si="486"/>
        <v>45</v>
      </c>
      <c r="K1263" s="7">
        <f>25</f>
        <v>25</v>
      </c>
      <c r="L1263" s="7">
        <f t="shared" si="487"/>
        <v>70</v>
      </c>
      <c r="M1263" s="7"/>
      <c r="N1263" s="7">
        <v>70</v>
      </c>
      <c r="O1263" s="7">
        <v>70</v>
      </c>
      <c r="P1263" s="349">
        <v>70</v>
      </c>
      <c r="Q1263" s="257">
        <v>100</v>
      </c>
    </row>
    <row r="1264" spans="1:17" s="12" customFormat="1">
      <c r="A1264" s="8" t="s">
        <v>362</v>
      </c>
      <c r="B1264" s="10" t="s">
        <v>510</v>
      </c>
      <c r="C1264" s="10" t="s">
        <v>140</v>
      </c>
      <c r="D1264" s="10" t="s">
        <v>26</v>
      </c>
      <c r="E1264" s="10" t="s">
        <v>459</v>
      </c>
      <c r="F1264" s="10" t="s">
        <v>334</v>
      </c>
      <c r="G1264" s="11">
        <v>793.2</v>
      </c>
      <c r="H1264" s="31">
        <v>2166.4</v>
      </c>
      <c r="I1264" s="40">
        <f>-20-47.6</f>
        <v>-67.599999999999994</v>
      </c>
      <c r="J1264" s="7">
        <f t="shared" si="486"/>
        <v>2098.8000000000002</v>
      </c>
      <c r="K1264" s="7">
        <f>610+235</f>
        <v>845</v>
      </c>
      <c r="L1264" s="7">
        <f t="shared" si="487"/>
        <v>2943.8</v>
      </c>
      <c r="M1264" s="7"/>
      <c r="N1264" s="7">
        <v>2943.8</v>
      </c>
      <c r="O1264" s="7">
        <v>2943.8</v>
      </c>
      <c r="P1264" s="349">
        <v>2943.8</v>
      </c>
      <c r="Q1264" s="257">
        <v>100</v>
      </c>
    </row>
    <row r="1265" spans="1:17" s="12" customFormat="1">
      <c r="A1265" s="8" t="s">
        <v>384</v>
      </c>
      <c r="B1265" s="10" t="s">
        <v>510</v>
      </c>
      <c r="C1265" s="10" t="s">
        <v>140</v>
      </c>
      <c r="D1265" s="10" t="s">
        <v>26</v>
      </c>
      <c r="E1265" s="10" t="s">
        <v>459</v>
      </c>
      <c r="F1265" s="10" t="s">
        <v>335</v>
      </c>
      <c r="G1265" s="11">
        <v>-0.9</v>
      </c>
      <c r="H1265" s="31">
        <v>8.3000000000000007</v>
      </c>
      <c r="I1265" s="7"/>
      <c r="J1265" s="7">
        <f t="shared" si="486"/>
        <v>8.3000000000000007</v>
      </c>
      <c r="K1265" s="7"/>
      <c r="L1265" s="7">
        <f t="shared" si="487"/>
        <v>8.3000000000000007</v>
      </c>
      <c r="M1265" s="7"/>
      <c r="N1265" s="7">
        <v>8.3000000000000007</v>
      </c>
      <c r="O1265" s="7">
        <v>8.3000000000000007</v>
      </c>
      <c r="P1265" s="349">
        <v>8.3000000000000007</v>
      </c>
      <c r="Q1265" s="257">
        <v>100</v>
      </c>
    </row>
    <row r="1266" spans="1:17" s="12" customFormat="1">
      <c r="A1266" s="8" t="s">
        <v>380</v>
      </c>
      <c r="B1266" s="10" t="s">
        <v>510</v>
      </c>
      <c r="C1266" s="10" t="s">
        <v>140</v>
      </c>
      <c r="D1266" s="10" t="s">
        <v>26</v>
      </c>
      <c r="E1266" s="10" t="s">
        <v>459</v>
      </c>
      <c r="F1266" s="10" t="s">
        <v>336</v>
      </c>
      <c r="G1266" s="11">
        <v>1.7</v>
      </c>
      <c r="H1266" s="31">
        <v>10.1</v>
      </c>
      <c r="I1266" s="7">
        <v>20</v>
      </c>
      <c r="J1266" s="7">
        <f t="shared" si="486"/>
        <v>30.1</v>
      </c>
      <c r="K1266" s="7">
        <v>25</v>
      </c>
      <c r="L1266" s="7">
        <f t="shared" si="487"/>
        <v>55.1</v>
      </c>
      <c r="M1266" s="7"/>
      <c r="N1266" s="7">
        <v>55.1</v>
      </c>
      <c r="O1266" s="7">
        <v>55.1</v>
      </c>
      <c r="P1266" s="349">
        <v>55.1</v>
      </c>
      <c r="Q1266" s="257">
        <v>100</v>
      </c>
    </row>
    <row r="1267" spans="1:17" s="12" customFormat="1" ht="78.75">
      <c r="A1267" s="8" t="s">
        <v>478</v>
      </c>
      <c r="B1267" s="10" t="s">
        <v>510</v>
      </c>
      <c r="C1267" s="10" t="s">
        <v>140</v>
      </c>
      <c r="D1267" s="10" t="s">
        <v>26</v>
      </c>
      <c r="E1267" s="10" t="s">
        <v>460</v>
      </c>
      <c r="F1267" s="10"/>
      <c r="G1267" s="11">
        <v>8512.4</v>
      </c>
      <c r="H1267" s="11">
        <v>44745.2</v>
      </c>
      <c r="I1267" s="7">
        <f t="shared" ref="I1267:M1267" si="488">I1268+I1269</f>
        <v>-500</v>
      </c>
      <c r="J1267" s="7">
        <f t="shared" si="488"/>
        <v>44245.2</v>
      </c>
      <c r="K1267" s="7">
        <f t="shared" si="488"/>
        <v>6644</v>
      </c>
      <c r="L1267" s="7">
        <f t="shared" si="488"/>
        <v>50889.2</v>
      </c>
      <c r="M1267" s="7">
        <f t="shared" si="488"/>
        <v>0</v>
      </c>
      <c r="N1267" s="7">
        <v>50889.2</v>
      </c>
      <c r="O1267" s="7">
        <v>50889.2</v>
      </c>
      <c r="P1267" s="349">
        <v>50889.2</v>
      </c>
      <c r="Q1267" s="257">
        <v>100</v>
      </c>
    </row>
    <row r="1268" spans="1:17" s="12" customFormat="1" ht="47.25">
      <c r="A1268" s="8" t="s">
        <v>360</v>
      </c>
      <c r="B1268" s="10" t="s">
        <v>510</v>
      </c>
      <c r="C1268" s="10" t="s">
        <v>140</v>
      </c>
      <c r="D1268" s="10" t="s">
        <v>26</v>
      </c>
      <c r="E1268" s="10" t="s">
        <v>460</v>
      </c>
      <c r="F1268" s="10" t="s">
        <v>359</v>
      </c>
      <c r="G1268" s="11">
        <v>-4787.6000000000004</v>
      </c>
      <c r="H1268" s="31">
        <v>31445.200000000001</v>
      </c>
      <c r="I1268" s="7"/>
      <c r="J1268" s="7">
        <f>H1268+I1268</f>
        <v>31445.200000000001</v>
      </c>
      <c r="K1268" s="7">
        <v>1444</v>
      </c>
      <c r="L1268" s="7">
        <f>J1268+K1268</f>
        <v>32889.199999999997</v>
      </c>
      <c r="M1268" s="7"/>
      <c r="N1268" s="7">
        <v>32889.199999999997</v>
      </c>
      <c r="O1268" s="7">
        <v>32889.199999999997</v>
      </c>
      <c r="P1268" s="349">
        <v>32889.199999999997</v>
      </c>
      <c r="Q1268" s="257">
        <v>100</v>
      </c>
    </row>
    <row r="1269" spans="1:17" s="12" customFormat="1">
      <c r="A1269" s="8" t="s">
        <v>373</v>
      </c>
      <c r="B1269" s="10" t="s">
        <v>510</v>
      </c>
      <c r="C1269" s="10" t="s">
        <v>140</v>
      </c>
      <c r="D1269" s="10" t="s">
        <v>26</v>
      </c>
      <c r="E1269" s="10" t="s">
        <v>460</v>
      </c>
      <c r="F1269" s="10" t="s">
        <v>372</v>
      </c>
      <c r="G1269" s="11">
        <v>13300</v>
      </c>
      <c r="H1269" s="31">
        <v>13300</v>
      </c>
      <c r="I1269" s="40">
        <v>-500</v>
      </c>
      <c r="J1269" s="7">
        <f>H1269+I1269</f>
        <v>12800</v>
      </c>
      <c r="K1269" s="7">
        <v>5200</v>
      </c>
      <c r="L1269" s="7">
        <f>J1269+K1269</f>
        <v>18000</v>
      </c>
      <c r="M1269" s="7">
        <f>980-980</f>
        <v>0</v>
      </c>
      <c r="N1269" s="7">
        <v>18000</v>
      </c>
      <c r="O1269" s="7">
        <v>18000</v>
      </c>
      <c r="P1269" s="349">
        <v>18000</v>
      </c>
      <c r="Q1269" s="257">
        <v>100</v>
      </c>
    </row>
    <row r="1270" spans="1:17" s="12" customFormat="1" ht="47.25">
      <c r="A1270" s="8" t="s">
        <v>479</v>
      </c>
      <c r="B1270" s="10" t="s">
        <v>510</v>
      </c>
      <c r="C1270" s="10" t="s">
        <v>140</v>
      </c>
      <c r="D1270" s="10" t="s">
        <v>26</v>
      </c>
      <c r="E1270" s="10" t="s">
        <v>473</v>
      </c>
      <c r="F1270" s="10"/>
      <c r="G1270" s="11">
        <v>-414</v>
      </c>
      <c r="H1270" s="11">
        <v>26640.1</v>
      </c>
      <c r="I1270" s="7">
        <f>I1271+I1272</f>
        <v>0</v>
      </c>
      <c r="J1270" s="7">
        <f t="shared" ref="J1270:M1270" si="489">J1271+J1272+J1273</f>
        <v>26640.1</v>
      </c>
      <c r="K1270" s="7">
        <f t="shared" si="489"/>
        <v>1560.6</v>
      </c>
      <c r="L1270" s="7">
        <f t="shared" si="489"/>
        <v>28200.7</v>
      </c>
      <c r="M1270" s="7">
        <f t="shared" si="489"/>
        <v>980</v>
      </c>
      <c r="N1270" s="7">
        <v>29180.7</v>
      </c>
      <c r="O1270" s="7">
        <v>29180.7</v>
      </c>
      <c r="P1270" s="349">
        <v>29180.7</v>
      </c>
      <c r="Q1270" s="257">
        <v>100</v>
      </c>
    </row>
    <row r="1271" spans="1:17" s="12" customFormat="1" ht="47.25">
      <c r="A1271" s="8" t="s">
        <v>360</v>
      </c>
      <c r="B1271" s="10" t="s">
        <v>510</v>
      </c>
      <c r="C1271" s="10" t="s">
        <v>140</v>
      </c>
      <c r="D1271" s="10" t="s">
        <v>26</v>
      </c>
      <c r="E1271" s="10" t="s">
        <v>473</v>
      </c>
      <c r="F1271" s="10" t="s">
        <v>359</v>
      </c>
      <c r="G1271" s="11">
        <v>461.5</v>
      </c>
      <c r="H1271" s="31">
        <v>6477.9</v>
      </c>
      <c r="I1271" s="7"/>
      <c r="J1271" s="7">
        <f>H1271+I1271</f>
        <v>6477.9</v>
      </c>
      <c r="K1271" s="7">
        <v>205.6</v>
      </c>
      <c r="L1271" s="7">
        <f>J1271+K1271</f>
        <v>6683.5</v>
      </c>
      <c r="M1271" s="7"/>
      <c r="N1271" s="7">
        <v>6683.5</v>
      </c>
      <c r="O1271" s="7">
        <v>6683.5</v>
      </c>
      <c r="P1271" s="349">
        <v>6683.5</v>
      </c>
      <c r="Q1271" s="257">
        <v>100</v>
      </c>
    </row>
    <row r="1272" spans="1:17" s="12" customFormat="1" ht="47.25">
      <c r="A1272" s="8" t="s">
        <v>366</v>
      </c>
      <c r="B1272" s="10" t="s">
        <v>510</v>
      </c>
      <c r="C1272" s="10" t="s">
        <v>140</v>
      </c>
      <c r="D1272" s="10" t="s">
        <v>26</v>
      </c>
      <c r="E1272" s="10" t="s">
        <v>473</v>
      </c>
      <c r="F1272" s="10" t="s">
        <v>355</v>
      </c>
      <c r="G1272" s="11">
        <v>-875.5</v>
      </c>
      <c r="H1272" s="31">
        <v>20162.2</v>
      </c>
      <c r="I1272" s="7"/>
      <c r="J1272" s="7">
        <f>H1272+I1272</f>
        <v>20162.2</v>
      </c>
      <c r="K1272" s="7">
        <v>635</v>
      </c>
      <c r="L1272" s="7">
        <f>J1272+K1272</f>
        <v>20797.2</v>
      </c>
      <c r="M1272" s="7"/>
      <c r="N1272" s="7">
        <v>20797.2</v>
      </c>
      <c r="O1272" s="7">
        <v>20797.2</v>
      </c>
      <c r="P1272" s="349">
        <v>20797.2</v>
      </c>
      <c r="Q1272" s="257">
        <v>100</v>
      </c>
    </row>
    <row r="1273" spans="1:17" s="12" customFormat="1">
      <c r="A1273" s="8" t="s">
        <v>367</v>
      </c>
      <c r="B1273" s="10" t="s">
        <v>510</v>
      </c>
      <c r="C1273" s="10" t="s">
        <v>140</v>
      </c>
      <c r="D1273" s="10" t="s">
        <v>26</v>
      </c>
      <c r="E1273" s="10" t="s">
        <v>473</v>
      </c>
      <c r="F1273" s="10" t="s">
        <v>365</v>
      </c>
      <c r="G1273" s="11"/>
      <c r="H1273" s="31"/>
      <c r="I1273" s="7"/>
      <c r="J1273" s="7"/>
      <c r="K1273" s="7">
        <v>720</v>
      </c>
      <c r="L1273" s="7">
        <f>J1273+K1273</f>
        <v>720</v>
      </c>
      <c r="M1273" s="7">
        <v>980</v>
      </c>
      <c r="N1273" s="7">
        <v>1700</v>
      </c>
      <c r="O1273" s="7">
        <v>1700</v>
      </c>
      <c r="P1273" s="349">
        <v>1700</v>
      </c>
      <c r="Q1273" s="257">
        <v>100</v>
      </c>
    </row>
    <row r="1274" spans="1:17" s="12" customFormat="1" ht="31.5">
      <c r="A1274" s="8" t="s">
        <v>480</v>
      </c>
      <c r="B1274" s="10" t="s">
        <v>510</v>
      </c>
      <c r="C1274" s="10" t="s">
        <v>140</v>
      </c>
      <c r="D1274" s="10" t="s">
        <v>26</v>
      </c>
      <c r="E1274" s="10" t="s">
        <v>474</v>
      </c>
      <c r="F1274" s="10"/>
      <c r="G1274" s="11">
        <v>5812.2</v>
      </c>
      <c r="H1274" s="11">
        <v>103822.7</v>
      </c>
      <c r="I1274" s="7">
        <f>I1276+I1275</f>
        <v>5800</v>
      </c>
      <c r="J1274" s="7">
        <f t="shared" ref="J1274:M1274" si="490">J1276+J1275+J1277</f>
        <v>109622.7</v>
      </c>
      <c r="K1274" s="7">
        <f t="shared" si="490"/>
        <v>13857.7</v>
      </c>
      <c r="L1274" s="7">
        <f t="shared" si="490"/>
        <v>123480.4</v>
      </c>
      <c r="M1274" s="7">
        <f t="shared" si="490"/>
        <v>0</v>
      </c>
      <c r="N1274" s="7">
        <v>123480.4</v>
      </c>
      <c r="O1274" s="7">
        <v>123480.4</v>
      </c>
      <c r="P1274" s="349">
        <v>123480.4</v>
      </c>
      <c r="Q1274" s="257">
        <v>100</v>
      </c>
    </row>
    <row r="1275" spans="1:17" s="12" customFormat="1" ht="31.5">
      <c r="A1275" s="8" t="s">
        <v>361</v>
      </c>
      <c r="B1275" s="10" t="s">
        <v>510</v>
      </c>
      <c r="C1275" s="10" t="s">
        <v>140</v>
      </c>
      <c r="D1275" s="10" t="s">
        <v>26</v>
      </c>
      <c r="E1275" s="10" t="s">
        <v>474</v>
      </c>
      <c r="F1275" s="10" t="s">
        <v>333</v>
      </c>
      <c r="G1275" s="11"/>
      <c r="H1275" s="11"/>
      <c r="I1275" s="40">
        <v>500</v>
      </c>
      <c r="J1275" s="7">
        <f>H1275+I1275</f>
        <v>500</v>
      </c>
      <c r="K1275" s="7"/>
      <c r="L1275" s="7">
        <f>J1275+K1275</f>
        <v>500</v>
      </c>
      <c r="M1275" s="7"/>
      <c r="N1275" s="7">
        <v>500</v>
      </c>
      <c r="O1275" s="7">
        <v>500</v>
      </c>
      <c r="P1275" s="349">
        <v>500</v>
      </c>
      <c r="Q1275" s="257">
        <v>100</v>
      </c>
    </row>
    <row r="1276" spans="1:17" s="12" customFormat="1" ht="47.25">
      <c r="A1276" s="8" t="s">
        <v>360</v>
      </c>
      <c r="B1276" s="10" t="s">
        <v>510</v>
      </c>
      <c r="C1276" s="10" t="s">
        <v>140</v>
      </c>
      <c r="D1276" s="10" t="s">
        <v>26</v>
      </c>
      <c r="E1276" s="10" t="s">
        <v>474</v>
      </c>
      <c r="F1276" s="10" t="s">
        <v>359</v>
      </c>
      <c r="G1276" s="11">
        <v>5812.2</v>
      </c>
      <c r="H1276" s="31">
        <v>103822.7</v>
      </c>
      <c r="I1276" s="40">
        <f>-700+6000</f>
        <v>5300</v>
      </c>
      <c r="J1276" s="7">
        <f>H1276+I1276</f>
        <v>109122.7</v>
      </c>
      <c r="K1276" s="7">
        <f>6191.8+3779.9+1320.2+109.5</f>
        <v>11401.4</v>
      </c>
      <c r="L1276" s="7">
        <f>J1276+K1276</f>
        <v>120524.1</v>
      </c>
      <c r="M1276" s="7"/>
      <c r="N1276" s="7">
        <v>120524.1</v>
      </c>
      <c r="O1276" s="7">
        <v>120524.1</v>
      </c>
      <c r="P1276" s="349">
        <v>120524.1</v>
      </c>
      <c r="Q1276" s="257">
        <v>100</v>
      </c>
    </row>
    <row r="1277" spans="1:17" s="12" customFormat="1">
      <c r="A1277" s="8" t="s">
        <v>373</v>
      </c>
      <c r="B1277" s="10" t="s">
        <v>510</v>
      </c>
      <c r="C1277" s="10" t="s">
        <v>140</v>
      </c>
      <c r="D1277" s="10" t="s">
        <v>26</v>
      </c>
      <c r="E1277" s="10" t="s">
        <v>474</v>
      </c>
      <c r="F1277" s="10" t="s">
        <v>372</v>
      </c>
      <c r="G1277" s="11"/>
      <c r="H1277" s="31"/>
      <c r="I1277" s="40"/>
      <c r="J1277" s="7"/>
      <c r="K1277" s="7">
        <v>2456.3000000000002</v>
      </c>
      <c r="L1277" s="7">
        <f>J1277+K1277</f>
        <v>2456.3000000000002</v>
      </c>
      <c r="M1277" s="7"/>
      <c r="N1277" s="7">
        <v>2456.3000000000002</v>
      </c>
      <c r="O1277" s="7">
        <v>2456.3000000000002</v>
      </c>
      <c r="P1277" s="349">
        <v>2456.3000000000002</v>
      </c>
      <c r="Q1277" s="257">
        <v>100</v>
      </c>
    </row>
    <row r="1278" spans="1:17" s="12" customFormat="1" ht="63">
      <c r="A1278" s="8" t="s">
        <v>956</v>
      </c>
      <c r="B1278" s="10" t="s">
        <v>510</v>
      </c>
      <c r="C1278" s="10" t="s">
        <v>140</v>
      </c>
      <c r="D1278" s="10" t="s">
        <v>26</v>
      </c>
      <c r="E1278" s="10" t="s">
        <v>955</v>
      </c>
      <c r="F1278" s="10"/>
      <c r="G1278" s="11"/>
      <c r="H1278" s="31"/>
      <c r="I1278" s="7"/>
      <c r="J1278" s="7" t="e">
        <f>#REF!+#REF!+#REF!+J1279+J1280</f>
        <v>#REF!</v>
      </c>
      <c r="K1278" s="7" t="e">
        <f>#REF!+#REF!+#REF!+K1279+K1280</f>
        <v>#REF!</v>
      </c>
      <c r="L1278" s="7" t="e">
        <f>#REF!+#REF!+#REF!+L1279+L1280</f>
        <v>#REF!</v>
      </c>
      <c r="M1278" s="7" t="e">
        <f>#REF!+#REF!+#REF!+M1279+M1280</f>
        <v>#REF!</v>
      </c>
      <c r="N1278" s="7">
        <v>8177.4</v>
      </c>
      <c r="O1278" s="7">
        <v>8177.4</v>
      </c>
      <c r="P1278" s="349">
        <v>7404.6</v>
      </c>
      <c r="Q1278" s="257">
        <v>90.55</v>
      </c>
    </row>
    <row r="1279" spans="1:17" s="12" customFormat="1">
      <c r="A1279" s="8" t="s">
        <v>373</v>
      </c>
      <c r="B1279" s="10" t="s">
        <v>510</v>
      </c>
      <c r="C1279" s="10" t="s">
        <v>140</v>
      </c>
      <c r="D1279" s="10" t="s">
        <v>26</v>
      </c>
      <c r="E1279" s="10" t="s">
        <v>955</v>
      </c>
      <c r="F1279" s="10" t="s">
        <v>372</v>
      </c>
      <c r="G1279" s="11"/>
      <c r="H1279" s="31"/>
      <c r="I1279" s="7"/>
      <c r="J1279" s="7"/>
      <c r="K1279" s="7">
        <v>2630.8</v>
      </c>
      <c r="L1279" s="7">
        <f>J1279+K1279</f>
        <v>2630.8</v>
      </c>
      <c r="M1279" s="7">
        <v>3146.6</v>
      </c>
      <c r="N1279" s="7">
        <v>5777.4</v>
      </c>
      <c r="O1279" s="7">
        <v>5777.4</v>
      </c>
      <c r="P1279" s="349">
        <v>5004.6000000000004</v>
      </c>
      <c r="Q1279" s="257">
        <v>86.62</v>
      </c>
    </row>
    <row r="1280" spans="1:17" s="12" customFormat="1">
      <c r="A1280" s="8" t="s">
        <v>367</v>
      </c>
      <c r="B1280" s="10" t="s">
        <v>510</v>
      </c>
      <c r="C1280" s="10" t="s">
        <v>140</v>
      </c>
      <c r="D1280" s="10" t="s">
        <v>26</v>
      </c>
      <c r="E1280" s="10" t="s">
        <v>955</v>
      </c>
      <c r="F1280" s="10" t="s">
        <v>365</v>
      </c>
      <c r="G1280" s="11"/>
      <c r="H1280" s="31"/>
      <c r="I1280" s="7"/>
      <c r="J1280" s="7"/>
      <c r="K1280" s="7">
        <v>2400</v>
      </c>
      <c r="L1280" s="7">
        <f>J1280+K1280</f>
        <v>2400</v>
      </c>
      <c r="M1280" s="7"/>
      <c r="N1280" s="7">
        <v>2400</v>
      </c>
      <c r="O1280" s="7">
        <v>2400</v>
      </c>
      <c r="P1280" s="349">
        <v>2400</v>
      </c>
      <c r="Q1280" s="257">
        <v>100</v>
      </c>
    </row>
    <row r="1281" spans="1:17" s="30" customFormat="1">
      <c r="A1281" s="26" t="s">
        <v>46</v>
      </c>
      <c r="B1281" s="27" t="s">
        <v>510</v>
      </c>
      <c r="C1281" s="27">
        <v>10</v>
      </c>
      <c r="D1281" s="27" t="s">
        <v>28</v>
      </c>
      <c r="E1281" s="27"/>
      <c r="F1281" s="27"/>
      <c r="G1281" s="28">
        <v>-12304.1</v>
      </c>
      <c r="H1281" s="28">
        <v>808188</v>
      </c>
      <c r="I1281" s="29">
        <f>I1284+I1328</f>
        <v>1017.3</v>
      </c>
      <c r="J1281" s="29">
        <f>J1284+J1328</f>
        <v>809205.3</v>
      </c>
      <c r="K1281" s="29">
        <f>K1284+K1328</f>
        <v>-7032.3</v>
      </c>
      <c r="L1281" s="29">
        <f>L1284+L1328</f>
        <v>802173</v>
      </c>
      <c r="M1281" s="29">
        <f>M1284+M1328</f>
        <v>-20538</v>
      </c>
      <c r="N1281" s="29">
        <v>781635</v>
      </c>
      <c r="O1281" s="29">
        <v>782003.19999999995</v>
      </c>
      <c r="P1281" s="348">
        <v>750453.2</v>
      </c>
      <c r="Q1281" s="256">
        <v>95.97</v>
      </c>
    </row>
    <row r="1282" spans="1:17" s="12" customFormat="1">
      <c r="A1282" s="8" t="s">
        <v>150</v>
      </c>
      <c r="B1282" s="10" t="s">
        <v>510</v>
      </c>
      <c r="C1282" s="10">
        <v>10</v>
      </c>
      <c r="D1282" s="10" t="s">
        <v>28</v>
      </c>
      <c r="E1282" s="10" t="s">
        <v>151</v>
      </c>
      <c r="F1282" s="10"/>
      <c r="G1282" s="11"/>
      <c r="H1282" s="11"/>
      <c r="I1282" s="7"/>
      <c r="J1282" s="7"/>
      <c r="K1282" s="7"/>
      <c r="L1282" s="7"/>
      <c r="M1282" s="7"/>
      <c r="N1282" s="7">
        <v>0</v>
      </c>
      <c r="O1282" s="7">
        <v>100</v>
      </c>
      <c r="P1282" s="349">
        <v>100</v>
      </c>
      <c r="Q1282" s="257">
        <v>100</v>
      </c>
    </row>
    <row r="1283" spans="1:17" s="12" customFormat="1" ht="47.25">
      <c r="A1283" s="9" t="s">
        <v>762</v>
      </c>
      <c r="B1283" s="10" t="s">
        <v>510</v>
      </c>
      <c r="C1283" s="10">
        <v>10</v>
      </c>
      <c r="D1283" s="10" t="s">
        <v>28</v>
      </c>
      <c r="E1283" s="10" t="s">
        <v>151</v>
      </c>
      <c r="F1283" s="10" t="s">
        <v>368</v>
      </c>
      <c r="G1283" s="11"/>
      <c r="H1283" s="11"/>
      <c r="I1283" s="7"/>
      <c r="J1283" s="7"/>
      <c r="K1283" s="7"/>
      <c r="L1283" s="7"/>
      <c r="M1283" s="7"/>
      <c r="N1283" s="7">
        <v>0</v>
      </c>
      <c r="O1283" s="7">
        <v>100</v>
      </c>
      <c r="P1283" s="349">
        <v>100</v>
      </c>
      <c r="Q1283" s="257">
        <v>100</v>
      </c>
    </row>
    <row r="1284" spans="1:17" s="12" customFormat="1">
      <c r="A1284" s="8" t="s">
        <v>47</v>
      </c>
      <c r="B1284" s="10" t="s">
        <v>510</v>
      </c>
      <c r="C1284" s="10">
        <v>10</v>
      </c>
      <c r="D1284" s="10" t="s">
        <v>28</v>
      </c>
      <c r="E1284" s="10" t="s">
        <v>48</v>
      </c>
      <c r="F1284" s="10"/>
      <c r="G1284" s="11">
        <v>-12304.1</v>
      </c>
      <c r="H1284" s="11">
        <v>808188</v>
      </c>
      <c r="I1284" s="7">
        <f t="shared" ref="I1284:M1284" si="491">I1288+I1290+I1292+I1294+I1296+I1298+I1300+I1302+I1304+I1306+I1310+I1314+I1317+I1319+I1321+I1324+I1326+I1285</f>
        <v>17.3</v>
      </c>
      <c r="J1284" s="7">
        <f t="shared" si="491"/>
        <v>808205.3</v>
      </c>
      <c r="K1284" s="7">
        <f t="shared" si="491"/>
        <v>-7032.3</v>
      </c>
      <c r="L1284" s="7">
        <f t="shared" si="491"/>
        <v>801173</v>
      </c>
      <c r="M1284" s="7">
        <f t="shared" si="491"/>
        <v>-20288</v>
      </c>
      <c r="N1284" s="7">
        <v>780885</v>
      </c>
      <c r="O1284" s="7">
        <v>781153.2</v>
      </c>
      <c r="P1284" s="349">
        <v>750353.2</v>
      </c>
      <c r="Q1284" s="257">
        <v>96.06</v>
      </c>
    </row>
    <row r="1285" spans="1:17" s="12" customFormat="1" ht="63">
      <c r="A1285" s="33" t="s">
        <v>1050</v>
      </c>
      <c r="B1285" s="10" t="s">
        <v>510</v>
      </c>
      <c r="C1285" s="10">
        <v>10</v>
      </c>
      <c r="D1285" s="10" t="s">
        <v>28</v>
      </c>
      <c r="E1285" s="10" t="s">
        <v>760</v>
      </c>
      <c r="F1285" s="10"/>
      <c r="G1285" s="11"/>
      <c r="H1285" s="11">
        <f t="shared" ref="H1285:M1286" si="492">H1286</f>
        <v>0</v>
      </c>
      <c r="I1285" s="11">
        <f t="shared" si="492"/>
        <v>17.3</v>
      </c>
      <c r="J1285" s="11">
        <f t="shared" si="492"/>
        <v>17.3</v>
      </c>
      <c r="K1285" s="11">
        <f t="shared" si="492"/>
        <v>228.5</v>
      </c>
      <c r="L1285" s="11">
        <f t="shared" si="492"/>
        <v>245.8</v>
      </c>
      <c r="M1285" s="11">
        <f t="shared" si="492"/>
        <v>7.9</v>
      </c>
      <c r="N1285" s="11">
        <v>253.7</v>
      </c>
      <c r="O1285" s="52">
        <v>262.60000000000002</v>
      </c>
      <c r="P1285" s="349">
        <v>262.60000000000002</v>
      </c>
      <c r="Q1285" s="257">
        <v>100</v>
      </c>
    </row>
    <row r="1286" spans="1:17" s="12" customFormat="1" ht="31.5">
      <c r="A1286" s="33" t="s">
        <v>761</v>
      </c>
      <c r="B1286" s="10" t="s">
        <v>510</v>
      </c>
      <c r="C1286" s="10">
        <v>10</v>
      </c>
      <c r="D1286" s="10" t="s">
        <v>28</v>
      </c>
      <c r="E1286" s="10" t="s">
        <v>759</v>
      </c>
      <c r="F1286" s="10"/>
      <c r="G1286" s="11"/>
      <c r="H1286" s="11">
        <f t="shared" si="492"/>
        <v>0</v>
      </c>
      <c r="I1286" s="11">
        <f t="shared" si="492"/>
        <v>17.3</v>
      </c>
      <c r="J1286" s="11">
        <f t="shared" si="492"/>
        <v>17.3</v>
      </c>
      <c r="K1286" s="11">
        <f t="shared" si="492"/>
        <v>228.5</v>
      </c>
      <c r="L1286" s="11">
        <f t="shared" si="492"/>
        <v>245.8</v>
      </c>
      <c r="M1286" s="11">
        <f t="shared" si="492"/>
        <v>7.9</v>
      </c>
      <c r="N1286" s="11">
        <v>253.7</v>
      </c>
      <c r="O1286" s="52">
        <v>262.60000000000002</v>
      </c>
      <c r="P1286" s="349">
        <v>262.60000000000002</v>
      </c>
      <c r="Q1286" s="257">
        <v>100</v>
      </c>
    </row>
    <row r="1287" spans="1:17" s="12" customFormat="1" ht="47.25">
      <c r="A1287" s="9" t="s">
        <v>762</v>
      </c>
      <c r="B1287" s="10" t="s">
        <v>510</v>
      </c>
      <c r="C1287" s="10">
        <v>10</v>
      </c>
      <c r="D1287" s="10" t="s">
        <v>28</v>
      </c>
      <c r="E1287" s="10" t="s">
        <v>759</v>
      </c>
      <c r="F1287" s="10" t="s">
        <v>368</v>
      </c>
      <c r="G1287" s="11"/>
      <c r="H1287" s="11"/>
      <c r="I1287" s="7">
        <v>17.3</v>
      </c>
      <c r="J1287" s="7">
        <f>H1287+I1287</f>
        <v>17.3</v>
      </c>
      <c r="K1287" s="7">
        <f>5+55.5+5.9+149.1+4.6+8.4</f>
        <v>228.5</v>
      </c>
      <c r="L1287" s="7">
        <f>J1287+K1287</f>
        <v>245.8</v>
      </c>
      <c r="M1287" s="7">
        <f>7.8+0.1</f>
        <v>7.9</v>
      </c>
      <c r="N1287" s="7">
        <v>253.7</v>
      </c>
      <c r="O1287" s="7">
        <v>262.60000000000002</v>
      </c>
      <c r="P1287" s="349">
        <v>262.60000000000002</v>
      </c>
      <c r="Q1287" s="257">
        <v>100</v>
      </c>
    </row>
    <row r="1288" spans="1:17" s="12" customFormat="1" ht="63">
      <c r="A1288" s="8" t="s">
        <v>247</v>
      </c>
      <c r="B1288" s="10" t="s">
        <v>510</v>
      </c>
      <c r="C1288" s="10">
        <v>10</v>
      </c>
      <c r="D1288" s="10" t="s">
        <v>28</v>
      </c>
      <c r="E1288" s="10" t="s">
        <v>248</v>
      </c>
      <c r="F1288" s="10"/>
      <c r="G1288" s="11">
        <v>-1924</v>
      </c>
      <c r="H1288" s="11">
        <v>20024.8</v>
      </c>
      <c r="I1288" s="7">
        <f t="shared" ref="I1288:M1288" si="493">I1289</f>
        <v>0</v>
      </c>
      <c r="J1288" s="7">
        <f t="shared" si="493"/>
        <v>20024.8</v>
      </c>
      <c r="K1288" s="7">
        <f t="shared" si="493"/>
        <v>0</v>
      </c>
      <c r="L1288" s="7">
        <f t="shared" si="493"/>
        <v>20024.8</v>
      </c>
      <c r="M1288" s="7">
        <f t="shared" si="493"/>
        <v>-12225.1</v>
      </c>
      <c r="N1288" s="7">
        <v>7799.7</v>
      </c>
      <c r="O1288" s="7">
        <v>7799.7</v>
      </c>
      <c r="P1288" s="349">
        <v>6502.8</v>
      </c>
      <c r="Q1288" s="257">
        <v>83.37</v>
      </c>
    </row>
    <row r="1289" spans="1:17" s="12" customFormat="1" ht="31.5">
      <c r="A1289" s="8" t="s">
        <v>389</v>
      </c>
      <c r="B1289" s="10" t="s">
        <v>510</v>
      </c>
      <c r="C1289" s="10">
        <v>10</v>
      </c>
      <c r="D1289" s="10" t="s">
        <v>28</v>
      </c>
      <c r="E1289" s="10" t="s">
        <v>248</v>
      </c>
      <c r="F1289" s="10" t="s">
        <v>369</v>
      </c>
      <c r="G1289" s="11">
        <v>-1924</v>
      </c>
      <c r="H1289" s="31">
        <v>20024.8</v>
      </c>
      <c r="I1289" s="7"/>
      <c r="J1289" s="7">
        <f>H1289+I1289</f>
        <v>20024.8</v>
      </c>
      <c r="K1289" s="7"/>
      <c r="L1289" s="7">
        <f>J1289+K1289</f>
        <v>20024.8</v>
      </c>
      <c r="M1289" s="7">
        <v>-12225.1</v>
      </c>
      <c r="N1289" s="7">
        <v>7799.7</v>
      </c>
      <c r="O1289" s="7">
        <v>7799.7</v>
      </c>
      <c r="P1289" s="349">
        <v>6502.8</v>
      </c>
      <c r="Q1289" s="257">
        <v>83.37</v>
      </c>
    </row>
    <row r="1290" spans="1:17" s="12" customFormat="1" ht="31.5">
      <c r="A1290" s="8" t="s">
        <v>249</v>
      </c>
      <c r="B1290" s="10" t="s">
        <v>510</v>
      </c>
      <c r="C1290" s="10">
        <v>10</v>
      </c>
      <c r="D1290" s="10" t="s">
        <v>28</v>
      </c>
      <c r="E1290" s="10" t="s">
        <v>250</v>
      </c>
      <c r="F1290" s="10"/>
      <c r="G1290" s="11">
        <v>237.4</v>
      </c>
      <c r="H1290" s="11">
        <v>6997.8</v>
      </c>
      <c r="I1290" s="7">
        <f t="shared" ref="I1290:M1290" si="494">I1291</f>
        <v>0</v>
      </c>
      <c r="J1290" s="7">
        <f t="shared" si="494"/>
        <v>6997.8</v>
      </c>
      <c r="K1290" s="7">
        <f t="shared" si="494"/>
        <v>0</v>
      </c>
      <c r="L1290" s="7">
        <f t="shared" si="494"/>
        <v>6997.8</v>
      </c>
      <c r="M1290" s="7">
        <f t="shared" si="494"/>
        <v>0</v>
      </c>
      <c r="N1290" s="7">
        <v>6997.8</v>
      </c>
      <c r="O1290" s="7">
        <v>7257</v>
      </c>
      <c r="P1290" s="349">
        <v>7257</v>
      </c>
      <c r="Q1290" s="257">
        <v>100</v>
      </c>
    </row>
    <row r="1291" spans="1:17" s="12" customFormat="1" ht="31.5">
      <c r="A1291" s="8" t="s">
        <v>389</v>
      </c>
      <c r="B1291" s="10" t="s">
        <v>510</v>
      </c>
      <c r="C1291" s="10">
        <v>10</v>
      </c>
      <c r="D1291" s="10" t="s">
        <v>28</v>
      </c>
      <c r="E1291" s="10" t="s">
        <v>250</v>
      </c>
      <c r="F1291" s="10" t="s">
        <v>369</v>
      </c>
      <c r="G1291" s="11">
        <v>237.4</v>
      </c>
      <c r="H1291" s="31">
        <v>6997.8</v>
      </c>
      <c r="I1291" s="7"/>
      <c r="J1291" s="7">
        <f>H1291+I1291</f>
        <v>6997.8</v>
      </c>
      <c r="K1291" s="7"/>
      <c r="L1291" s="7">
        <f>J1291+K1291</f>
        <v>6997.8</v>
      </c>
      <c r="M1291" s="7"/>
      <c r="N1291" s="7">
        <v>6997.8</v>
      </c>
      <c r="O1291" s="7">
        <v>7257</v>
      </c>
      <c r="P1291" s="349">
        <v>7257</v>
      </c>
      <c r="Q1291" s="257">
        <v>100</v>
      </c>
    </row>
    <row r="1292" spans="1:17" s="12" customFormat="1">
      <c r="A1292" s="8" t="s">
        <v>67</v>
      </c>
      <c r="B1292" s="10" t="s">
        <v>510</v>
      </c>
      <c r="C1292" s="10">
        <v>10</v>
      </c>
      <c r="D1292" s="10" t="s">
        <v>28</v>
      </c>
      <c r="E1292" s="10" t="s">
        <v>251</v>
      </c>
      <c r="F1292" s="10"/>
      <c r="G1292" s="11">
        <v>500</v>
      </c>
      <c r="H1292" s="11">
        <v>1000</v>
      </c>
      <c r="I1292" s="7">
        <f t="shared" ref="I1292:M1292" si="495">I1293</f>
        <v>0</v>
      </c>
      <c r="J1292" s="7">
        <f t="shared" si="495"/>
        <v>1000</v>
      </c>
      <c r="K1292" s="7">
        <f t="shared" si="495"/>
        <v>5</v>
      </c>
      <c r="L1292" s="7">
        <f t="shared" si="495"/>
        <v>1005</v>
      </c>
      <c r="M1292" s="7">
        <f t="shared" si="495"/>
        <v>650</v>
      </c>
      <c r="N1292" s="7">
        <v>1655</v>
      </c>
      <c r="O1292" s="7">
        <v>1655</v>
      </c>
      <c r="P1292" s="349">
        <v>1655</v>
      </c>
      <c r="Q1292" s="257">
        <v>100</v>
      </c>
    </row>
    <row r="1293" spans="1:17" s="12" customFormat="1" ht="31.5">
      <c r="A1293" s="8" t="s">
        <v>586</v>
      </c>
      <c r="B1293" s="10" t="s">
        <v>510</v>
      </c>
      <c r="C1293" s="10">
        <v>10</v>
      </c>
      <c r="D1293" s="10" t="s">
        <v>28</v>
      </c>
      <c r="E1293" s="10" t="s">
        <v>251</v>
      </c>
      <c r="F1293" s="10" t="s">
        <v>368</v>
      </c>
      <c r="G1293" s="11">
        <v>500</v>
      </c>
      <c r="H1293" s="31">
        <v>1000</v>
      </c>
      <c r="I1293" s="7"/>
      <c r="J1293" s="7">
        <f>H1293+I1293</f>
        <v>1000</v>
      </c>
      <c r="K1293" s="7">
        <v>5</v>
      </c>
      <c r="L1293" s="7">
        <f>J1293+K1293</f>
        <v>1005</v>
      </c>
      <c r="M1293" s="7">
        <f>100+150+50+100+250</f>
        <v>650</v>
      </c>
      <c r="N1293" s="7">
        <v>1655</v>
      </c>
      <c r="O1293" s="7">
        <v>1655</v>
      </c>
      <c r="P1293" s="349">
        <v>1655</v>
      </c>
      <c r="Q1293" s="257">
        <v>100</v>
      </c>
    </row>
    <row r="1294" spans="1:17" s="21" customFormat="1" ht="94.5">
      <c r="A1294" s="8" t="s">
        <v>1051</v>
      </c>
      <c r="B1294" s="10" t="s">
        <v>510</v>
      </c>
      <c r="C1294" s="10">
        <v>10</v>
      </c>
      <c r="D1294" s="10" t="s">
        <v>28</v>
      </c>
      <c r="E1294" s="10" t="s">
        <v>252</v>
      </c>
      <c r="F1294" s="10"/>
      <c r="G1294" s="11">
        <v>597.9</v>
      </c>
      <c r="H1294" s="11">
        <v>13053.9</v>
      </c>
      <c r="I1294" s="7">
        <f t="shared" ref="I1294:M1294" si="496">I1295</f>
        <v>0</v>
      </c>
      <c r="J1294" s="7">
        <f t="shared" si="496"/>
        <v>13053.9</v>
      </c>
      <c r="K1294" s="7">
        <f t="shared" si="496"/>
        <v>2765.1</v>
      </c>
      <c r="L1294" s="7">
        <f t="shared" si="496"/>
        <v>15819</v>
      </c>
      <c r="M1294" s="7">
        <f t="shared" si="496"/>
        <v>0</v>
      </c>
      <c r="N1294" s="7">
        <v>15819</v>
      </c>
      <c r="O1294" s="7">
        <v>15819</v>
      </c>
      <c r="P1294" s="349">
        <v>15760</v>
      </c>
      <c r="Q1294" s="257">
        <v>99.63</v>
      </c>
    </row>
    <row r="1295" spans="1:17" s="12" customFormat="1">
      <c r="A1295" s="8" t="s">
        <v>373</v>
      </c>
      <c r="B1295" s="10" t="s">
        <v>510</v>
      </c>
      <c r="C1295" s="10">
        <v>10</v>
      </c>
      <c r="D1295" s="10" t="s">
        <v>28</v>
      </c>
      <c r="E1295" s="10" t="s">
        <v>252</v>
      </c>
      <c r="F1295" s="10" t="s">
        <v>372</v>
      </c>
      <c r="G1295" s="11">
        <v>597.9</v>
      </c>
      <c r="H1295" s="31">
        <v>13053.9</v>
      </c>
      <c r="I1295" s="7"/>
      <c r="J1295" s="7">
        <f>H1295+I1295</f>
        <v>13053.9</v>
      </c>
      <c r="K1295" s="7">
        <v>2765.1</v>
      </c>
      <c r="L1295" s="7">
        <f>J1295+K1295</f>
        <v>15819</v>
      </c>
      <c r="M1295" s="7"/>
      <c r="N1295" s="7">
        <v>15819</v>
      </c>
      <c r="O1295" s="7">
        <v>15819</v>
      </c>
      <c r="P1295" s="349">
        <v>15760</v>
      </c>
      <c r="Q1295" s="257">
        <v>99.63</v>
      </c>
    </row>
    <row r="1296" spans="1:17" s="12" customFormat="1" ht="47.25">
      <c r="A1296" s="8" t="s">
        <v>253</v>
      </c>
      <c r="B1296" s="10" t="s">
        <v>510</v>
      </c>
      <c r="C1296" s="10">
        <v>10</v>
      </c>
      <c r="D1296" s="10" t="s">
        <v>28</v>
      </c>
      <c r="E1296" s="10" t="s">
        <v>254</v>
      </c>
      <c r="F1296" s="10"/>
      <c r="G1296" s="11">
        <v>0</v>
      </c>
      <c r="H1296" s="11">
        <v>58</v>
      </c>
      <c r="I1296" s="7">
        <f t="shared" ref="I1296:M1296" si="497">I1297</f>
        <v>0</v>
      </c>
      <c r="J1296" s="7">
        <f t="shared" si="497"/>
        <v>58</v>
      </c>
      <c r="K1296" s="7">
        <f t="shared" si="497"/>
        <v>0</v>
      </c>
      <c r="L1296" s="7">
        <f t="shared" si="497"/>
        <v>58</v>
      </c>
      <c r="M1296" s="7">
        <f t="shared" si="497"/>
        <v>0</v>
      </c>
      <c r="N1296" s="7">
        <v>58</v>
      </c>
      <c r="O1296" s="7">
        <v>58</v>
      </c>
      <c r="P1296" s="349">
        <v>25.3</v>
      </c>
      <c r="Q1296" s="257">
        <v>43.62</v>
      </c>
    </row>
    <row r="1297" spans="1:17" s="12" customFormat="1" ht="31.5">
      <c r="A1297" s="8" t="s">
        <v>389</v>
      </c>
      <c r="B1297" s="10" t="s">
        <v>510</v>
      </c>
      <c r="C1297" s="10">
        <v>10</v>
      </c>
      <c r="D1297" s="10" t="s">
        <v>28</v>
      </c>
      <c r="E1297" s="10" t="s">
        <v>254</v>
      </c>
      <c r="F1297" s="10" t="s">
        <v>369</v>
      </c>
      <c r="G1297" s="11">
        <v>0</v>
      </c>
      <c r="H1297" s="31">
        <v>58</v>
      </c>
      <c r="I1297" s="7"/>
      <c r="J1297" s="7">
        <f>H1297+I1297</f>
        <v>58</v>
      </c>
      <c r="K1297" s="7"/>
      <c r="L1297" s="7">
        <f>J1297+K1297</f>
        <v>58</v>
      </c>
      <c r="M1297" s="7"/>
      <c r="N1297" s="7">
        <v>58</v>
      </c>
      <c r="O1297" s="7">
        <v>58</v>
      </c>
      <c r="P1297" s="349">
        <v>25.3</v>
      </c>
      <c r="Q1297" s="257">
        <v>43.62</v>
      </c>
    </row>
    <row r="1298" spans="1:17" s="12" customFormat="1" ht="47.25">
      <c r="A1298" s="8" t="s">
        <v>255</v>
      </c>
      <c r="B1298" s="10" t="s">
        <v>510</v>
      </c>
      <c r="C1298" s="10" t="s">
        <v>140</v>
      </c>
      <c r="D1298" s="10" t="s">
        <v>28</v>
      </c>
      <c r="E1298" s="10" t="s">
        <v>256</v>
      </c>
      <c r="F1298" s="10"/>
      <c r="G1298" s="11">
        <v>0</v>
      </c>
      <c r="H1298" s="11">
        <v>237.5</v>
      </c>
      <c r="I1298" s="7">
        <f t="shared" ref="I1298:M1298" si="498">I1299</f>
        <v>0</v>
      </c>
      <c r="J1298" s="7">
        <f t="shared" si="498"/>
        <v>237.5</v>
      </c>
      <c r="K1298" s="7">
        <f t="shared" si="498"/>
        <v>0</v>
      </c>
      <c r="L1298" s="7">
        <f t="shared" si="498"/>
        <v>237.5</v>
      </c>
      <c r="M1298" s="7">
        <f t="shared" si="498"/>
        <v>-118.8</v>
      </c>
      <c r="N1298" s="7">
        <v>118.7</v>
      </c>
      <c r="O1298" s="7">
        <v>118.8</v>
      </c>
      <c r="P1298" s="349">
        <v>0.3</v>
      </c>
      <c r="Q1298" s="257">
        <v>0.25</v>
      </c>
    </row>
    <row r="1299" spans="1:17" s="12" customFormat="1" ht="31.5">
      <c r="A1299" s="8" t="s">
        <v>389</v>
      </c>
      <c r="B1299" s="10" t="s">
        <v>510</v>
      </c>
      <c r="C1299" s="10">
        <v>10</v>
      </c>
      <c r="D1299" s="10" t="s">
        <v>28</v>
      </c>
      <c r="E1299" s="10" t="s">
        <v>256</v>
      </c>
      <c r="F1299" s="10" t="s">
        <v>369</v>
      </c>
      <c r="G1299" s="11">
        <v>0</v>
      </c>
      <c r="H1299" s="31">
        <v>237.5</v>
      </c>
      <c r="I1299" s="7"/>
      <c r="J1299" s="7">
        <f>H1299+I1299</f>
        <v>237.5</v>
      </c>
      <c r="K1299" s="7"/>
      <c r="L1299" s="7">
        <f>J1299+K1299</f>
        <v>237.5</v>
      </c>
      <c r="M1299" s="7">
        <v>-118.8</v>
      </c>
      <c r="N1299" s="7">
        <v>118.7</v>
      </c>
      <c r="O1299" s="7">
        <v>118.8</v>
      </c>
      <c r="P1299" s="349">
        <v>0.3</v>
      </c>
      <c r="Q1299" s="257">
        <v>0.25</v>
      </c>
    </row>
    <row r="1300" spans="1:17" s="12" customFormat="1" ht="31.5">
      <c r="A1300" s="8" t="s">
        <v>184</v>
      </c>
      <c r="B1300" s="10" t="s">
        <v>510</v>
      </c>
      <c r="C1300" s="10" t="s">
        <v>140</v>
      </c>
      <c r="D1300" s="10" t="s">
        <v>28</v>
      </c>
      <c r="E1300" s="10" t="s">
        <v>185</v>
      </c>
      <c r="F1300" s="10"/>
      <c r="G1300" s="11">
        <v>-21176.5</v>
      </c>
      <c r="H1300" s="11">
        <v>205506.8</v>
      </c>
      <c r="I1300" s="7">
        <f t="shared" ref="I1300:M1300" si="499">I1301</f>
        <v>0</v>
      </c>
      <c r="J1300" s="7">
        <f t="shared" si="499"/>
        <v>205506.8</v>
      </c>
      <c r="K1300" s="7">
        <f t="shared" si="499"/>
        <v>22983.200000000001</v>
      </c>
      <c r="L1300" s="7">
        <f t="shared" si="499"/>
        <v>228490</v>
      </c>
      <c r="M1300" s="7">
        <f t="shared" si="499"/>
        <v>-1719</v>
      </c>
      <c r="N1300" s="7">
        <v>226771</v>
      </c>
      <c r="O1300" s="7">
        <v>226771</v>
      </c>
      <c r="P1300" s="349">
        <v>207772</v>
      </c>
      <c r="Q1300" s="257">
        <v>91.62</v>
      </c>
    </row>
    <row r="1301" spans="1:17" s="12" customFormat="1" ht="31.5">
      <c r="A1301" s="8" t="s">
        <v>494</v>
      </c>
      <c r="B1301" s="10" t="s">
        <v>510</v>
      </c>
      <c r="C1301" s="57" t="s">
        <v>140</v>
      </c>
      <c r="D1301" s="57" t="s">
        <v>28</v>
      </c>
      <c r="E1301" s="57" t="s">
        <v>185</v>
      </c>
      <c r="F1301" s="57">
        <v>314</v>
      </c>
      <c r="G1301" s="11">
        <v>-21176.5</v>
      </c>
      <c r="H1301" s="31">
        <v>205506.8</v>
      </c>
      <c r="I1301" s="7"/>
      <c r="J1301" s="7">
        <f>H1301+I1301</f>
        <v>205506.8</v>
      </c>
      <c r="K1301" s="7">
        <v>22983.200000000001</v>
      </c>
      <c r="L1301" s="7">
        <f>J1301+K1301</f>
        <v>228490</v>
      </c>
      <c r="M1301" s="7">
        <v>-1719</v>
      </c>
      <c r="N1301" s="7">
        <v>226771</v>
      </c>
      <c r="O1301" s="7">
        <v>226771</v>
      </c>
      <c r="P1301" s="349">
        <v>207772</v>
      </c>
      <c r="Q1301" s="257">
        <v>91.62</v>
      </c>
    </row>
    <row r="1302" spans="1:17" s="12" customFormat="1" ht="31.5">
      <c r="A1302" s="8" t="s">
        <v>186</v>
      </c>
      <c r="B1302" s="10" t="s">
        <v>510</v>
      </c>
      <c r="C1302" s="10" t="s">
        <v>140</v>
      </c>
      <c r="D1302" s="10" t="s">
        <v>28</v>
      </c>
      <c r="E1302" s="10" t="s">
        <v>187</v>
      </c>
      <c r="F1302" s="10"/>
      <c r="G1302" s="11">
        <v>2999.9</v>
      </c>
      <c r="H1302" s="11">
        <v>83322</v>
      </c>
      <c r="I1302" s="7">
        <f t="shared" ref="I1302:M1302" si="500">I1303</f>
        <v>0</v>
      </c>
      <c r="J1302" s="7">
        <f t="shared" si="500"/>
        <v>83322</v>
      </c>
      <c r="K1302" s="7">
        <f t="shared" si="500"/>
        <v>-10000</v>
      </c>
      <c r="L1302" s="7">
        <f t="shared" si="500"/>
        <v>73322</v>
      </c>
      <c r="M1302" s="7">
        <f t="shared" si="500"/>
        <v>0</v>
      </c>
      <c r="N1302" s="7">
        <v>73322</v>
      </c>
      <c r="O1302" s="7">
        <v>73322</v>
      </c>
      <c r="P1302" s="349">
        <v>71830.100000000006</v>
      </c>
      <c r="Q1302" s="257">
        <v>97.97</v>
      </c>
    </row>
    <row r="1303" spans="1:17" s="12" customFormat="1" ht="31.5">
      <c r="A1303" s="8" t="s">
        <v>494</v>
      </c>
      <c r="B1303" s="10" t="s">
        <v>510</v>
      </c>
      <c r="C1303" s="57" t="s">
        <v>140</v>
      </c>
      <c r="D1303" s="57" t="s">
        <v>28</v>
      </c>
      <c r="E1303" s="57" t="s">
        <v>187</v>
      </c>
      <c r="F1303" s="57">
        <v>314</v>
      </c>
      <c r="G1303" s="11">
        <v>2999.9</v>
      </c>
      <c r="H1303" s="31">
        <v>83322</v>
      </c>
      <c r="I1303" s="7"/>
      <c r="J1303" s="7">
        <f>H1303+I1303</f>
        <v>83322</v>
      </c>
      <c r="K1303" s="7">
        <f>-6100-11500+7600</f>
        <v>-10000</v>
      </c>
      <c r="L1303" s="7">
        <f>J1303+K1303</f>
        <v>73322</v>
      </c>
      <c r="M1303" s="7"/>
      <c r="N1303" s="7">
        <v>73322</v>
      </c>
      <c r="O1303" s="7">
        <v>73322</v>
      </c>
      <c r="P1303" s="349">
        <v>71830.100000000006</v>
      </c>
      <c r="Q1303" s="257">
        <v>97.97</v>
      </c>
    </row>
    <row r="1304" spans="1:17" s="21" customFormat="1">
      <c r="A1304" s="8" t="s">
        <v>188</v>
      </c>
      <c r="B1304" s="10" t="s">
        <v>510</v>
      </c>
      <c r="C1304" s="10" t="s">
        <v>140</v>
      </c>
      <c r="D1304" s="10" t="s">
        <v>28</v>
      </c>
      <c r="E1304" s="10" t="s">
        <v>450</v>
      </c>
      <c r="F1304" s="10"/>
      <c r="G1304" s="11">
        <v>5879</v>
      </c>
      <c r="H1304" s="11">
        <v>98920</v>
      </c>
      <c r="I1304" s="7">
        <f t="shared" ref="I1304:M1304" si="501">I1305</f>
        <v>0</v>
      </c>
      <c r="J1304" s="7">
        <f t="shared" si="501"/>
        <v>98920</v>
      </c>
      <c r="K1304" s="7">
        <f t="shared" si="501"/>
        <v>0</v>
      </c>
      <c r="L1304" s="7">
        <f t="shared" si="501"/>
        <v>98920</v>
      </c>
      <c r="M1304" s="7">
        <f t="shared" si="501"/>
        <v>0</v>
      </c>
      <c r="N1304" s="7">
        <v>98920</v>
      </c>
      <c r="O1304" s="7">
        <v>98920</v>
      </c>
      <c r="P1304" s="349">
        <v>98482.8</v>
      </c>
      <c r="Q1304" s="257">
        <v>99.56</v>
      </c>
    </row>
    <row r="1305" spans="1:17" s="12" customFormat="1" ht="31.5">
      <c r="A1305" s="8" t="s">
        <v>389</v>
      </c>
      <c r="B1305" s="10" t="s">
        <v>510</v>
      </c>
      <c r="C1305" s="57" t="s">
        <v>140</v>
      </c>
      <c r="D1305" s="57" t="s">
        <v>28</v>
      </c>
      <c r="E1305" s="57" t="s">
        <v>450</v>
      </c>
      <c r="F1305" s="57">
        <v>313</v>
      </c>
      <c r="G1305" s="11">
        <v>5879</v>
      </c>
      <c r="H1305" s="31">
        <v>98920</v>
      </c>
      <c r="I1305" s="7"/>
      <c r="J1305" s="7">
        <f>H1305+I1305</f>
        <v>98920</v>
      </c>
      <c r="K1305" s="7"/>
      <c r="L1305" s="7">
        <f>J1305+K1305</f>
        <v>98920</v>
      </c>
      <c r="M1305" s="7"/>
      <c r="N1305" s="7">
        <v>98920</v>
      </c>
      <c r="O1305" s="7">
        <v>98920</v>
      </c>
      <c r="P1305" s="349">
        <v>98482.8</v>
      </c>
      <c r="Q1305" s="257">
        <v>99.56</v>
      </c>
    </row>
    <row r="1306" spans="1:17" s="12" customFormat="1" ht="31.5">
      <c r="A1306" s="8" t="s">
        <v>189</v>
      </c>
      <c r="B1306" s="10" t="s">
        <v>510</v>
      </c>
      <c r="C1306" s="10" t="s">
        <v>140</v>
      </c>
      <c r="D1306" s="10" t="s">
        <v>28</v>
      </c>
      <c r="E1306" s="10" t="s">
        <v>451</v>
      </c>
      <c r="F1306" s="10"/>
      <c r="G1306" s="11">
        <v>-101.8</v>
      </c>
      <c r="H1306" s="11">
        <v>101718.2</v>
      </c>
      <c r="I1306" s="7">
        <f t="shared" ref="I1306:M1306" si="502">I1307+I1308+I1309</f>
        <v>0</v>
      </c>
      <c r="J1306" s="7">
        <f t="shared" si="502"/>
        <v>101718.2</v>
      </c>
      <c r="K1306" s="7">
        <f t="shared" si="502"/>
        <v>-12015</v>
      </c>
      <c r="L1306" s="7">
        <f t="shared" si="502"/>
        <v>89703.2</v>
      </c>
      <c r="M1306" s="7">
        <f t="shared" si="502"/>
        <v>0</v>
      </c>
      <c r="N1306" s="7">
        <v>89703.2</v>
      </c>
      <c r="O1306" s="7">
        <v>89703.2</v>
      </c>
      <c r="P1306" s="349">
        <v>87618.8</v>
      </c>
      <c r="Q1306" s="257">
        <v>97.68</v>
      </c>
    </row>
    <row r="1307" spans="1:17" s="12" customFormat="1" ht="31.5">
      <c r="A1307" s="8" t="s">
        <v>389</v>
      </c>
      <c r="B1307" s="10" t="s">
        <v>510</v>
      </c>
      <c r="C1307" s="10" t="s">
        <v>140</v>
      </c>
      <c r="D1307" s="10" t="s">
        <v>28</v>
      </c>
      <c r="E1307" s="10" t="s">
        <v>451</v>
      </c>
      <c r="F1307" s="57">
        <v>313</v>
      </c>
      <c r="G1307" s="11">
        <v>15918.2</v>
      </c>
      <c r="H1307" s="31">
        <v>15918.2</v>
      </c>
      <c r="I1307" s="7"/>
      <c r="J1307" s="7">
        <f>H1307+I1307</f>
        <v>15918.2</v>
      </c>
      <c r="K1307" s="7">
        <v>3000</v>
      </c>
      <c r="L1307" s="7">
        <f>J1307+K1307</f>
        <v>18918.2</v>
      </c>
      <c r="M1307" s="7">
        <v>900</v>
      </c>
      <c r="N1307" s="7">
        <v>19818.2</v>
      </c>
      <c r="O1307" s="7">
        <v>19818.2</v>
      </c>
      <c r="P1307" s="349">
        <v>19671.3</v>
      </c>
      <c r="Q1307" s="257">
        <v>99.26</v>
      </c>
    </row>
    <row r="1308" spans="1:17" s="12" customFormat="1" ht="31.5">
      <c r="A1308" s="8" t="s">
        <v>494</v>
      </c>
      <c r="B1308" s="10" t="s">
        <v>510</v>
      </c>
      <c r="C1308" s="57" t="s">
        <v>140</v>
      </c>
      <c r="D1308" s="57" t="s">
        <v>28</v>
      </c>
      <c r="E1308" s="10" t="s">
        <v>451</v>
      </c>
      <c r="F1308" s="57">
        <v>314</v>
      </c>
      <c r="G1308" s="11">
        <v>-20020</v>
      </c>
      <c r="H1308" s="31">
        <v>81800</v>
      </c>
      <c r="I1308" s="7"/>
      <c r="J1308" s="7">
        <f>H1308+I1308</f>
        <v>81800</v>
      </c>
      <c r="K1308" s="7">
        <f>-4700-10815</f>
        <v>-15515</v>
      </c>
      <c r="L1308" s="7">
        <f>J1308+K1308</f>
        <v>66285</v>
      </c>
      <c r="M1308" s="7">
        <v>-900</v>
      </c>
      <c r="N1308" s="7">
        <v>65385</v>
      </c>
      <c r="O1308" s="7">
        <v>65385</v>
      </c>
      <c r="P1308" s="349">
        <v>63469.8</v>
      </c>
      <c r="Q1308" s="257">
        <v>97.07</v>
      </c>
    </row>
    <row r="1309" spans="1:17" s="12" customFormat="1">
      <c r="A1309" s="8" t="s">
        <v>373</v>
      </c>
      <c r="B1309" s="10" t="s">
        <v>510</v>
      </c>
      <c r="C1309" s="57" t="s">
        <v>140</v>
      </c>
      <c r="D1309" s="57" t="s">
        <v>28</v>
      </c>
      <c r="E1309" s="10" t="s">
        <v>451</v>
      </c>
      <c r="F1309" s="57">
        <v>612</v>
      </c>
      <c r="G1309" s="11">
        <v>4000</v>
      </c>
      <c r="H1309" s="31">
        <v>4000</v>
      </c>
      <c r="I1309" s="7"/>
      <c r="J1309" s="7">
        <f>H1309+I1309</f>
        <v>4000</v>
      </c>
      <c r="K1309" s="7">
        <v>500</v>
      </c>
      <c r="L1309" s="7">
        <f>J1309+K1309</f>
        <v>4500</v>
      </c>
      <c r="M1309" s="7"/>
      <c r="N1309" s="7">
        <v>4500</v>
      </c>
      <c r="O1309" s="7">
        <v>4500</v>
      </c>
      <c r="P1309" s="349">
        <v>4477.7</v>
      </c>
      <c r="Q1309" s="257">
        <v>99.5</v>
      </c>
    </row>
    <row r="1310" spans="1:17" s="21" customFormat="1" ht="47.25">
      <c r="A1310" s="8" t="s">
        <v>190</v>
      </c>
      <c r="B1310" s="10" t="s">
        <v>510</v>
      </c>
      <c r="C1310" s="10" t="s">
        <v>140</v>
      </c>
      <c r="D1310" s="10" t="s">
        <v>28</v>
      </c>
      <c r="E1310" s="10" t="s">
        <v>452</v>
      </c>
      <c r="F1310" s="10"/>
      <c r="G1310" s="11">
        <v>-1914</v>
      </c>
      <c r="H1310" s="11">
        <v>5025</v>
      </c>
      <c r="I1310" s="7">
        <f t="shared" ref="I1310:M1310" si="503">I1311+I1312+I1313</f>
        <v>0</v>
      </c>
      <c r="J1310" s="7">
        <f t="shared" si="503"/>
        <v>5025</v>
      </c>
      <c r="K1310" s="7">
        <f t="shared" si="503"/>
        <v>166</v>
      </c>
      <c r="L1310" s="7">
        <f t="shared" si="503"/>
        <v>5191</v>
      </c>
      <c r="M1310" s="7">
        <f t="shared" si="503"/>
        <v>0</v>
      </c>
      <c r="N1310" s="7">
        <v>5191</v>
      </c>
      <c r="O1310" s="7">
        <v>5191</v>
      </c>
      <c r="P1310" s="349">
        <v>4459.2</v>
      </c>
      <c r="Q1310" s="257">
        <v>85.9</v>
      </c>
    </row>
    <row r="1311" spans="1:17" s="12" customFormat="1" ht="31.5">
      <c r="A1311" s="8" t="s">
        <v>389</v>
      </c>
      <c r="B1311" s="10" t="s">
        <v>510</v>
      </c>
      <c r="C1311" s="10" t="s">
        <v>140</v>
      </c>
      <c r="D1311" s="10" t="s">
        <v>28</v>
      </c>
      <c r="E1311" s="10" t="s">
        <v>452</v>
      </c>
      <c r="F1311" s="10" t="s">
        <v>369</v>
      </c>
      <c r="G1311" s="11">
        <v>718</v>
      </c>
      <c r="H1311" s="31">
        <v>718</v>
      </c>
      <c r="I1311" s="7"/>
      <c r="J1311" s="7">
        <f>H1311+I1311</f>
        <v>718</v>
      </c>
      <c r="K1311" s="7">
        <v>166</v>
      </c>
      <c r="L1311" s="7">
        <f>J1311+K1311</f>
        <v>884</v>
      </c>
      <c r="M1311" s="7"/>
      <c r="N1311" s="7">
        <v>884</v>
      </c>
      <c r="O1311" s="7">
        <v>884</v>
      </c>
      <c r="P1311" s="349">
        <v>806.5</v>
      </c>
      <c r="Q1311" s="257">
        <v>91.23</v>
      </c>
    </row>
    <row r="1312" spans="1:17" s="21" customFormat="1" ht="31.5">
      <c r="A1312" s="8" t="s">
        <v>494</v>
      </c>
      <c r="B1312" s="10" t="s">
        <v>510</v>
      </c>
      <c r="C1312" s="10" t="s">
        <v>140</v>
      </c>
      <c r="D1312" s="10" t="s">
        <v>28</v>
      </c>
      <c r="E1312" s="10" t="s">
        <v>452</v>
      </c>
      <c r="F1312" s="10" t="s">
        <v>495</v>
      </c>
      <c r="G1312" s="11">
        <v>-2731</v>
      </c>
      <c r="H1312" s="31">
        <v>4208</v>
      </c>
      <c r="I1312" s="7"/>
      <c r="J1312" s="7">
        <f>H1312+I1312</f>
        <v>4208</v>
      </c>
      <c r="K1312" s="7"/>
      <c r="L1312" s="7">
        <f>J1312+K1312</f>
        <v>4208</v>
      </c>
      <c r="M1312" s="7"/>
      <c r="N1312" s="7">
        <v>4208</v>
      </c>
      <c r="O1312" s="7">
        <v>4208</v>
      </c>
      <c r="P1312" s="349">
        <v>3588.7</v>
      </c>
      <c r="Q1312" s="257">
        <v>85.28</v>
      </c>
    </row>
    <row r="1313" spans="1:17" s="12" customFormat="1">
      <c r="A1313" s="8" t="s">
        <v>373</v>
      </c>
      <c r="B1313" s="10" t="s">
        <v>510</v>
      </c>
      <c r="C1313" s="10" t="s">
        <v>140</v>
      </c>
      <c r="D1313" s="10" t="s">
        <v>28</v>
      </c>
      <c r="E1313" s="10" t="s">
        <v>452</v>
      </c>
      <c r="F1313" s="57">
        <v>612</v>
      </c>
      <c r="G1313" s="11">
        <v>99</v>
      </c>
      <c r="H1313" s="31">
        <v>99</v>
      </c>
      <c r="I1313" s="7"/>
      <c r="J1313" s="7">
        <f>H1313+I1313</f>
        <v>99</v>
      </c>
      <c r="K1313" s="7"/>
      <c r="L1313" s="7">
        <f>J1313+K1313</f>
        <v>99</v>
      </c>
      <c r="M1313" s="7"/>
      <c r="N1313" s="7">
        <v>99</v>
      </c>
      <c r="O1313" s="7">
        <v>99</v>
      </c>
      <c r="P1313" s="349">
        <v>64</v>
      </c>
      <c r="Q1313" s="257">
        <v>64.650000000000006</v>
      </c>
    </row>
    <row r="1314" spans="1:17" s="12" customFormat="1">
      <c r="A1314" s="8" t="s">
        <v>191</v>
      </c>
      <c r="B1314" s="10" t="s">
        <v>510</v>
      </c>
      <c r="C1314" s="10" t="s">
        <v>140</v>
      </c>
      <c r="D1314" s="10" t="s">
        <v>28</v>
      </c>
      <c r="E1314" s="10" t="s">
        <v>192</v>
      </c>
      <c r="F1314" s="10"/>
      <c r="G1314" s="11">
        <v>266</v>
      </c>
      <c r="H1314" s="11">
        <v>4430</v>
      </c>
      <c r="I1314" s="7">
        <f t="shared" ref="I1314:M1314" si="504">I1315+I1316</f>
        <v>0</v>
      </c>
      <c r="J1314" s="7">
        <f t="shared" si="504"/>
        <v>4430</v>
      </c>
      <c r="K1314" s="7">
        <f t="shared" si="504"/>
        <v>-1000</v>
      </c>
      <c r="L1314" s="7">
        <f t="shared" si="504"/>
        <v>3430</v>
      </c>
      <c r="M1314" s="7">
        <f t="shared" si="504"/>
        <v>0</v>
      </c>
      <c r="N1314" s="7">
        <v>3430</v>
      </c>
      <c r="O1314" s="7">
        <v>3430</v>
      </c>
      <c r="P1314" s="349">
        <v>3225.3</v>
      </c>
      <c r="Q1314" s="257">
        <v>94.03</v>
      </c>
    </row>
    <row r="1315" spans="1:17" s="12" customFormat="1" ht="31.5">
      <c r="A1315" s="8" t="s">
        <v>389</v>
      </c>
      <c r="B1315" s="10" t="s">
        <v>510</v>
      </c>
      <c r="C1315" s="10" t="s">
        <v>140</v>
      </c>
      <c r="D1315" s="10" t="s">
        <v>28</v>
      </c>
      <c r="E1315" s="10" t="s">
        <v>192</v>
      </c>
      <c r="F1315" s="10" t="s">
        <v>369</v>
      </c>
      <c r="G1315" s="11">
        <v>116</v>
      </c>
      <c r="H1315" s="31">
        <v>4280</v>
      </c>
      <c r="I1315" s="7"/>
      <c r="J1315" s="7">
        <f>H1315+I1315</f>
        <v>4280</v>
      </c>
      <c r="K1315" s="7">
        <v>-1000</v>
      </c>
      <c r="L1315" s="7">
        <f>J1315+K1315</f>
        <v>3280</v>
      </c>
      <c r="M1315" s="7">
        <v>80</v>
      </c>
      <c r="N1315" s="7">
        <v>3360</v>
      </c>
      <c r="O1315" s="7">
        <v>3360</v>
      </c>
      <c r="P1315" s="349">
        <v>3155.3</v>
      </c>
      <c r="Q1315" s="257">
        <v>93.91</v>
      </c>
    </row>
    <row r="1316" spans="1:17" s="12" customFormat="1">
      <c r="A1316" s="8" t="s">
        <v>373</v>
      </c>
      <c r="B1316" s="10" t="s">
        <v>510</v>
      </c>
      <c r="C1316" s="10" t="s">
        <v>140</v>
      </c>
      <c r="D1316" s="10" t="s">
        <v>28</v>
      </c>
      <c r="E1316" s="10" t="s">
        <v>192</v>
      </c>
      <c r="F1316" s="57">
        <v>612</v>
      </c>
      <c r="G1316" s="11">
        <v>150</v>
      </c>
      <c r="H1316" s="31">
        <v>150</v>
      </c>
      <c r="I1316" s="7"/>
      <c r="J1316" s="7">
        <f>H1316+I1316</f>
        <v>150</v>
      </c>
      <c r="K1316" s="7"/>
      <c r="L1316" s="7">
        <f>J1316+K1316</f>
        <v>150</v>
      </c>
      <c r="M1316" s="7">
        <v>-80</v>
      </c>
      <c r="N1316" s="7">
        <v>70</v>
      </c>
      <c r="O1316" s="7">
        <v>70</v>
      </c>
      <c r="P1316" s="349">
        <v>70</v>
      </c>
      <c r="Q1316" s="257">
        <v>100</v>
      </c>
    </row>
    <row r="1317" spans="1:17" s="21" customFormat="1" ht="31.5">
      <c r="A1317" s="8" t="s">
        <v>193</v>
      </c>
      <c r="B1317" s="10" t="s">
        <v>510</v>
      </c>
      <c r="C1317" s="10" t="s">
        <v>140</v>
      </c>
      <c r="D1317" s="10" t="s">
        <v>28</v>
      </c>
      <c r="E1317" s="10" t="s">
        <v>194</v>
      </c>
      <c r="F1317" s="10"/>
      <c r="G1317" s="11">
        <v>2548</v>
      </c>
      <c r="H1317" s="11">
        <v>26441</v>
      </c>
      <c r="I1317" s="7">
        <f t="shared" ref="I1317:M1317" si="505">I1318</f>
        <v>0</v>
      </c>
      <c r="J1317" s="7">
        <f t="shared" si="505"/>
        <v>26441</v>
      </c>
      <c r="K1317" s="7">
        <f t="shared" si="505"/>
        <v>-1700</v>
      </c>
      <c r="L1317" s="7">
        <f t="shared" si="505"/>
        <v>24741</v>
      </c>
      <c r="M1317" s="7">
        <f t="shared" si="505"/>
        <v>0</v>
      </c>
      <c r="N1317" s="7">
        <v>24741</v>
      </c>
      <c r="O1317" s="7">
        <v>24741</v>
      </c>
      <c r="P1317" s="349">
        <v>23728.9</v>
      </c>
      <c r="Q1317" s="257">
        <v>95.91</v>
      </c>
    </row>
    <row r="1318" spans="1:17" s="21" customFormat="1" ht="31.5">
      <c r="A1318" s="8" t="s">
        <v>494</v>
      </c>
      <c r="B1318" s="10" t="s">
        <v>510</v>
      </c>
      <c r="C1318" s="10" t="s">
        <v>140</v>
      </c>
      <c r="D1318" s="10" t="s">
        <v>28</v>
      </c>
      <c r="E1318" s="10" t="s">
        <v>194</v>
      </c>
      <c r="F1318" s="10" t="s">
        <v>495</v>
      </c>
      <c r="G1318" s="11">
        <v>2548</v>
      </c>
      <c r="H1318" s="31">
        <v>26441</v>
      </c>
      <c r="I1318" s="7"/>
      <c r="J1318" s="7">
        <f>H1318+I1318</f>
        <v>26441</v>
      </c>
      <c r="K1318" s="7">
        <v>-1700</v>
      </c>
      <c r="L1318" s="7">
        <f>J1318+K1318</f>
        <v>24741</v>
      </c>
      <c r="M1318" s="7"/>
      <c r="N1318" s="7">
        <v>24741</v>
      </c>
      <c r="O1318" s="7">
        <v>24741</v>
      </c>
      <c r="P1318" s="349">
        <v>23728.9</v>
      </c>
      <c r="Q1318" s="257">
        <v>95.91</v>
      </c>
    </row>
    <row r="1319" spans="1:17" s="21" customFormat="1" ht="47.25">
      <c r="A1319" s="8" t="s">
        <v>195</v>
      </c>
      <c r="B1319" s="10" t="s">
        <v>510</v>
      </c>
      <c r="C1319" s="10" t="s">
        <v>140</v>
      </c>
      <c r="D1319" s="10" t="s">
        <v>28</v>
      </c>
      <c r="E1319" s="10" t="s">
        <v>196</v>
      </c>
      <c r="F1319" s="10"/>
      <c r="G1319" s="11">
        <v>-169.7</v>
      </c>
      <c r="H1319" s="11">
        <v>169769.3</v>
      </c>
      <c r="I1319" s="7">
        <f t="shared" ref="I1319:M1319" si="506">I1320</f>
        <v>0</v>
      </c>
      <c r="J1319" s="7">
        <f t="shared" si="506"/>
        <v>169769.3</v>
      </c>
      <c r="K1319" s="7">
        <f t="shared" si="506"/>
        <v>-6842.5</v>
      </c>
      <c r="L1319" s="7">
        <f t="shared" si="506"/>
        <v>162926.79999999999</v>
      </c>
      <c r="M1319" s="7">
        <f t="shared" si="506"/>
        <v>-7183</v>
      </c>
      <c r="N1319" s="7">
        <v>155743.79999999999</v>
      </c>
      <c r="O1319" s="7">
        <v>155743.79999999999</v>
      </c>
      <c r="P1319" s="349">
        <v>155230.1</v>
      </c>
      <c r="Q1319" s="257">
        <v>99.67</v>
      </c>
    </row>
    <row r="1320" spans="1:17" s="21" customFormat="1" ht="31.5">
      <c r="A1320" s="8" t="s">
        <v>586</v>
      </c>
      <c r="B1320" s="10" t="s">
        <v>510</v>
      </c>
      <c r="C1320" s="10" t="s">
        <v>140</v>
      </c>
      <c r="D1320" s="10" t="s">
        <v>28</v>
      </c>
      <c r="E1320" s="10" t="s">
        <v>196</v>
      </c>
      <c r="F1320" s="10" t="s">
        <v>368</v>
      </c>
      <c r="G1320" s="11">
        <v>-169.7</v>
      </c>
      <c r="H1320" s="31">
        <v>169769.3</v>
      </c>
      <c r="I1320" s="7"/>
      <c r="J1320" s="7">
        <f>H1320+I1320</f>
        <v>169769.3</v>
      </c>
      <c r="K1320" s="7">
        <f>-6142.5-700-3000+3000</f>
        <v>-6842.5</v>
      </c>
      <c r="L1320" s="7">
        <f>J1320+K1320</f>
        <v>162926.79999999999</v>
      </c>
      <c r="M1320" s="7">
        <v>-7183</v>
      </c>
      <c r="N1320" s="7">
        <v>155743.79999999999</v>
      </c>
      <c r="O1320" s="7">
        <v>155743.79999999999</v>
      </c>
      <c r="P1320" s="349">
        <v>155230.1</v>
      </c>
      <c r="Q1320" s="257">
        <v>99.67</v>
      </c>
    </row>
    <row r="1321" spans="1:17" s="21" customFormat="1" ht="31.5">
      <c r="A1321" s="8" t="s">
        <v>197</v>
      </c>
      <c r="B1321" s="10" t="s">
        <v>510</v>
      </c>
      <c r="C1321" s="10" t="s">
        <v>140</v>
      </c>
      <c r="D1321" s="10" t="s">
        <v>28</v>
      </c>
      <c r="E1321" s="10" t="s">
        <v>198</v>
      </c>
      <c r="F1321" s="10"/>
      <c r="G1321" s="11">
        <v>-46.3</v>
      </c>
      <c r="H1321" s="11">
        <v>46705.7</v>
      </c>
      <c r="I1321" s="7">
        <f t="shared" ref="I1321:M1321" si="507">I1322+I1323</f>
        <v>0</v>
      </c>
      <c r="J1321" s="7">
        <f t="shared" si="507"/>
        <v>46705.7</v>
      </c>
      <c r="K1321" s="7">
        <f t="shared" si="507"/>
        <v>377.4</v>
      </c>
      <c r="L1321" s="7">
        <f t="shared" si="507"/>
        <v>47083.1</v>
      </c>
      <c r="M1321" s="7">
        <f t="shared" si="507"/>
        <v>0</v>
      </c>
      <c r="N1321" s="7">
        <v>47083.1</v>
      </c>
      <c r="O1321" s="7">
        <v>47083.1</v>
      </c>
      <c r="P1321" s="349">
        <v>43618.9</v>
      </c>
      <c r="Q1321" s="257">
        <v>92.64</v>
      </c>
    </row>
    <row r="1322" spans="1:17" s="21" customFormat="1" ht="31.5">
      <c r="A1322" s="8" t="s">
        <v>494</v>
      </c>
      <c r="B1322" s="10" t="s">
        <v>510</v>
      </c>
      <c r="C1322" s="10" t="s">
        <v>140</v>
      </c>
      <c r="D1322" s="10" t="s">
        <v>28</v>
      </c>
      <c r="E1322" s="10" t="s">
        <v>198</v>
      </c>
      <c r="F1322" s="10" t="s">
        <v>495</v>
      </c>
      <c r="G1322" s="11">
        <v>-15201.3</v>
      </c>
      <c r="H1322" s="31">
        <v>31550.7</v>
      </c>
      <c r="I1322" s="7"/>
      <c r="J1322" s="7">
        <f>H1322+I1322</f>
        <v>31550.7</v>
      </c>
      <c r="K1322" s="7">
        <v>-3000</v>
      </c>
      <c r="L1322" s="7">
        <f>J1322+K1322</f>
        <v>28550.7</v>
      </c>
      <c r="M1322" s="7"/>
      <c r="N1322" s="7">
        <v>28550.7</v>
      </c>
      <c r="O1322" s="7">
        <v>28550.7</v>
      </c>
      <c r="P1322" s="349">
        <v>25316.9</v>
      </c>
      <c r="Q1322" s="257">
        <v>88.67</v>
      </c>
    </row>
    <row r="1323" spans="1:17" s="12" customFormat="1">
      <c r="A1323" s="8" t="s">
        <v>373</v>
      </c>
      <c r="B1323" s="10" t="s">
        <v>510</v>
      </c>
      <c r="C1323" s="10" t="s">
        <v>140</v>
      </c>
      <c r="D1323" s="10" t="s">
        <v>28</v>
      </c>
      <c r="E1323" s="10" t="s">
        <v>198</v>
      </c>
      <c r="F1323" s="57">
        <v>612</v>
      </c>
      <c r="G1323" s="11">
        <v>15155</v>
      </c>
      <c r="H1323" s="31">
        <v>15155</v>
      </c>
      <c r="I1323" s="7"/>
      <c r="J1323" s="7">
        <f>H1323+I1323</f>
        <v>15155</v>
      </c>
      <c r="K1323" s="7">
        <v>3377.4</v>
      </c>
      <c r="L1323" s="7">
        <f>J1323+K1323</f>
        <v>18532.400000000001</v>
      </c>
      <c r="M1323" s="7"/>
      <c r="N1323" s="7">
        <v>18532.400000000001</v>
      </c>
      <c r="O1323" s="7">
        <v>18532.400000000001</v>
      </c>
      <c r="P1323" s="349">
        <v>18302</v>
      </c>
      <c r="Q1323" s="257">
        <v>98.76</v>
      </c>
    </row>
    <row r="1324" spans="1:17" s="12" customFormat="1">
      <c r="A1324" s="8" t="s">
        <v>179</v>
      </c>
      <c r="B1324" s="10" t="s">
        <v>510</v>
      </c>
      <c r="C1324" s="10" t="s">
        <v>140</v>
      </c>
      <c r="D1324" s="10" t="s">
        <v>28</v>
      </c>
      <c r="E1324" s="10" t="s">
        <v>180</v>
      </c>
      <c r="F1324" s="10"/>
      <c r="G1324" s="11">
        <v>0</v>
      </c>
      <c r="H1324" s="11">
        <v>22604</v>
      </c>
      <c r="I1324" s="7">
        <f t="shared" ref="I1324:M1324" si="508">I1325</f>
        <v>0</v>
      </c>
      <c r="J1324" s="7">
        <f t="shared" si="508"/>
        <v>22604</v>
      </c>
      <c r="K1324" s="7">
        <f t="shared" si="508"/>
        <v>-1000</v>
      </c>
      <c r="L1324" s="7">
        <f t="shared" si="508"/>
        <v>21604</v>
      </c>
      <c r="M1324" s="7">
        <f t="shared" si="508"/>
        <v>300</v>
      </c>
      <c r="N1324" s="7">
        <v>21904</v>
      </c>
      <c r="O1324" s="7">
        <v>21904</v>
      </c>
      <c r="P1324" s="349">
        <v>21723.3</v>
      </c>
      <c r="Q1324" s="257">
        <v>99.18</v>
      </c>
    </row>
    <row r="1325" spans="1:17" s="12" customFormat="1" ht="31.5">
      <c r="A1325" s="8" t="s">
        <v>389</v>
      </c>
      <c r="B1325" s="10" t="s">
        <v>510</v>
      </c>
      <c r="C1325" s="10" t="s">
        <v>140</v>
      </c>
      <c r="D1325" s="10" t="s">
        <v>28</v>
      </c>
      <c r="E1325" s="10" t="s">
        <v>180</v>
      </c>
      <c r="F1325" s="10" t="s">
        <v>369</v>
      </c>
      <c r="G1325" s="11">
        <v>0</v>
      </c>
      <c r="H1325" s="31">
        <v>22604</v>
      </c>
      <c r="I1325" s="7"/>
      <c r="J1325" s="7">
        <f>H1325+I1325</f>
        <v>22604</v>
      </c>
      <c r="K1325" s="7">
        <v>-1000</v>
      </c>
      <c r="L1325" s="7">
        <f>J1325+K1325</f>
        <v>21604</v>
      </c>
      <c r="M1325" s="7">
        <v>300</v>
      </c>
      <c r="N1325" s="7">
        <v>21904</v>
      </c>
      <c r="O1325" s="7">
        <v>21904</v>
      </c>
      <c r="P1325" s="349">
        <v>21723.3</v>
      </c>
      <c r="Q1325" s="257">
        <v>99.18</v>
      </c>
    </row>
    <row r="1326" spans="1:17" s="12" customFormat="1" ht="31.5">
      <c r="A1326" s="8" t="s">
        <v>257</v>
      </c>
      <c r="B1326" s="10" t="s">
        <v>510</v>
      </c>
      <c r="C1326" s="57">
        <v>10</v>
      </c>
      <c r="D1326" s="10" t="s">
        <v>28</v>
      </c>
      <c r="E1326" s="10" t="s">
        <v>232</v>
      </c>
      <c r="F1326" s="10"/>
      <c r="G1326" s="11">
        <v>0</v>
      </c>
      <c r="H1326" s="11">
        <v>2374</v>
      </c>
      <c r="I1326" s="7">
        <f t="shared" ref="I1326:M1326" si="509">I1327</f>
        <v>0</v>
      </c>
      <c r="J1326" s="7">
        <f t="shared" si="509"/>
        <v>2374</v>
      </c>
      <c r="K1326" s="7">
        <f t="shared" si="509"/>
        <v>-1000</v>
      </c>
      <c r="L1326" s="7">
        <f t="shared" si="509"/>
        <v>1374</v>
      </c>
      <c r="M1326" s="7">
        <f t="shared" si="509"/>
        <v>0</v>
      </c>
      <c r="N1326" s="7">
        <v>1374</v>
      </c>
      <c r="O1326" s="7">
        <v>1374</v>
      </c>
      <c r="P1326" s="349">
        <v>1200.8</v>
      </c>
      <c r="Q1326" s="257">
        <v>87.39</v>
      </c>
    </row>
    <row r="1327" spans="1:17" s="12" customFormat="1" ht="31.5">
      <c r="A1327" s="8" t="s">
        <v>389</v>
      </c>
      <c r="B1327" s="10" t="s">
        <v>510</v>
      </c>
      <c r="C1327" s="57">
        <v>10</v>
      </c>
      <c r="D1327" s="10" t="s">
        <v>28</v>
      </c>
      <c r="E1327" s="10" t="s">
        <v>232</v>
      </c>
      <c r="F1327" s="41" t="s">
        <v>369</v>
      </c>
      <c r="G1327" s="11">
        <v>0</v>
      </c>
      <c r="H1327" s="31">
        <v>2374</v>
      </c>
      <c r="I1327" s="7"/>
      <c r="J1327" s="7">
        <f>H1327+I1327</f>
        <v>2374</v>
      </c>
      <c r="K1327" s="7">
        <v>-1000</v>
      </c>
      <c r="L1327" s="7">
        <f>J1327+K1327</f>
        <v>1374</v>
      </c>
      <c r="M1327" s="7"/>
      <c r="N1327" s="7">
        <v>1374</v>
      </c>
      <c r="O1327" s="7">
        <v>1374</v>
      </c>
      <c r="P1327" s="349">
        <v>1200.8</v>
      </c>
      <c r="Q1327" s="257">
        <v>87.39</v>
      </c>
    </row>
    <row r="1328" spans="1:17" s="12" customFormat="1">
      <c r="A1328" s="8" t="s">
        <v>363</v>
      </c>
      <c r="B1328" s="10" t="s">
        <v>510</v>
      </c>
      <c r="C1328" s="57">
        <v>10</v>
      </c>
      <c r="D1328" s="10" t="s">
        <v>28</v>
      </c>
      <c r="E1328" s="10" t="s">
        <v>364</v>
      </c>
      <c r="F1328" s="41"/>
      <c r="G1328" s="11"/>
      <c r="H1328" s="31">
        <f t="shared" ref="H1328:M1329" si="510">H1329</f>
        <v>0</v>
      </c>
      <c r="I1328" s="31">
        <f t="shared" si="510"/>
        <v>1000</v>
      </c>
      <c r="J1328" s="31">
        <f t="shared" si="510"/>
        <v>1000</v>
      </c>
      <c r="K1328" s="31">
        <f t="shared" si="510"/>
        <v>0</v>
      </c>
      <c r="L1328" s="31">
        <f t="shared" si="510"/>
        <v>1000</v>
      </c>
      <c r="M1328" s="31">
        <f t="shared" si="510"/>
        <v>-250</v>
      </c>
      <c r="N1328" s="31">
        <v>750</v>
      </c>
      <c r="O1328" s="36">
        <v>750</v>
      </c>
      <c r="P1328" s="350">
        <v>0</v>
      </c>
      <c r="Q1328" s="257">
        <v>0</v>
      </c>
    </row>
    <row r="1329" spans="1:17" s="12" customFormat="1" ht="47.25">
      <c r="A1329" s="9" t="s">
        <v>878</v>
      </c>
      <c r="B1329" s="10" t="s">
        <v>510</v>
      </c>
      <c r="C1329" s="57">
        <v>10</v>
      </c>
      <c r="D1329" s="10" t="s">
        <v>28</v>
      </c>
      <c r="E1329" s="10" t="s">
        <v>910</v>
      </c>
      <c r="F1329" s="41"/>
      <c r="G1329" s="11"/>
      <c r="H1329" s="31">
        <f t="shared" si="510"/>
        <v>0</v>
      </c>
      <c r="I1329" s="31">
        <f t="shared" si="510"/>
        <v>1000</v>
      </c>
      <c r="J1329" s="31">
        <f t="shared" si="510"/>
        <v>1000</v>
      </c>
      <c r="K1329" s="31">
        <f t="shared" si="510"/>
        <v>0</v>
      </c>
      <c r="L1329" s="31">
        <f t="shared" si="510"/>
        <v>1000</v>
      </c>
      <c r="M1329" s="31">
        <f t="shared" si="510"/>
        <v>-250</v>
      </c>
      <c r="N1329" s="31">
        <v>750</v>
      </c>
      <c r="O1329" s="36">
        <v>750</v>
      </c>
      <c r="P1329" s="350">
        <v>0</v>
      </c>
      <c r="Q1329" s="257">
        <v>0</v>
      </c>
    </row>
    <row r="1330" spans="1:17" s="12" customFormat="1">
      <c r="A1330" s="9" t="s">
        <v>648</v>
      </c>
      <c r="B1330" s="10" t="s">
        <v>510</v>
      </c>
      <c r="C1330" s="57">
        <v>10</v>
      </c>
      <c r="D1330" s="10" t="s">
        <v>28</v>
      </c>
      <c r="E1330" s="10" t="s">
        <v>910</v>
      </c>
      <c r="F1330" s="41" t="s">
        <v>649</v>
      </c>
      <c r="G1330" s="11"/>
      <c r="H1330" s="31"/>
      <c r="I1330" s="7">
        <v>1000</v>
      </c>
      <c r="J1330" s="7">
        <f>H1330+I1330</f>
        <v>1000</v>
      </c>
      <c r="K1330" s="7"/>
      <c r="L1330" s="7">
        <f>J1330+K1330</f>
        <v>1000</v>
      </c>
      <c r="M1330" s="7">
        <v>-250</v>
      </c>
      <c r="N1330" s="7">
        <v>750</v>
      </c>
      <c r="O1330" s="7">
        <v>750</v>
      </c>
      <c r="P1330" s="349">
        <v>0</v>
      </c>
      <c r="Q1330" s="257">
        <v>0</v>
      </c>
    </row>
    <row r="1331" spans="1:17" s="12" customFormat="1">
      <c r="A1331" s="26" t="s">
        <v>87</v>
      </c>
      <c r="B1331" s="27" t="s">
        <v>510</v>
      </c>
      <c r="C1331" s="27">
        <v>10</v>
      </c>
      <c r="D1331" s="27" t="s">
        <v>11</v>
      </c>
      <c r="E1331" s="27"/>
      <c r="F1331" s="41"/>
      <c r="G1331" s="11"/>
      <c r="H1331" s="31"/>
      <c r="I1331" s="7"/>
      <c r="J1331" s="29">
        <f t="shared" ref="J1331:M1331" si="511">J1332+J1337</f>
        <v>0</v>
      </c>
      <c r="K1331" s="29">
        <f t="shared" si="511"/>
        <v>71626.5</v>
      </c>
      <c r="L1331" s="29">
        <f t="shared" si="511"/>
        <v>71626.5</v>
      </c>
      <c r="M1331" s="29">
        <f t="shared" si="511"/>
        <v>-0.1</v>
      </c>
      <c r="N1331" s="29">
        <v>71626.399999999994</v>
      </c>
      <c r="O1331" s="29">
        <v>71626.399999999994</v>
      </c>
      <c r="P1331" s="348">
        <v>56921.3</v>
      </c>
      <c r="Q1331" s="256">
        <v>79.47</v>
      </c>
    </row>
    <row r="1332" spans="1:17" s="12" customFormat="1">
      <c r="A1332" s="8" t="s">
        <v>47</v>
      </c>
      <c r="B1332" s="10" t="s">
        <v>510</v>
      </c>
      <c r="C1332" s="10">
        <v>10</v>
      </c>
      <c r="D1332" s="10" t="s">
        <v>11</v>
      </c>
      <c r="E1332" s="10" t="s">
        <v>48</v>
      </c>
      <c r="F1332" s="41"/>
      <c r="G1332" s="11"/>
      <c r="H1332" s="31"/>
      <c r="I1332" s="7"/>
      <c r="J1332" s="7">
        <f t="shared" ref="J1332:M1332" si="512">J1333+J1335</f>
        <v>0</v>
      </c>
      <c r="K1332" s="7">
        <f t="shared" si="512"/>
        <v>5683.7</v>
      </c>
      <c r="L1332" s="7">
        <f t="shared" si="512"/>
        <v>5683.7</v>
      </c>
      <c r="M1332" s="7">
        <f t="shared" si="512"/>
        <v>0</v>
      </c>
      <c r="N1332" s="7">
        <v>5683.7</v>
      </c>
      <c r="O1332" s="7">
        <v>5683.7</v>
      </c>
      <c r="P1332" s="349">
        <v>1355.9</v>
      </c>
      <c r="Q1332" s="257">
        <v>23.86</v>
      </c>
    </row>
    <row r="1333" spans="1:17" s="12" customFormat="1" ht="31.5">
      <c r="A1333" s="8" t="s">
        <v>88</v>
      </c>
      <c r="B1333" s="10" t="s">
        <v>510</v>
      </c>
      <c r="C1333" s="10">
        <v>10</v>
      </c>
      <c r="D1333" s="10" t="s">
        <v>11</v>
      </c>
      <c r="E1333" s="10" t="s">
        <v>89</v>
      </c>
      <c r="F1333" s="41"/>
      <c r="G1333" s="11"/>
      <c r="H1333" s="31"/>
      <c r="I1333" s="7"/>
      <c r="J1333" s="7">
        <f t="shared" ref="J1333:M1333" si="513">J1334</f>
        <v>0</v>
      </c>
      <c r="K1333" s="7">
        <f t="shared" si="513"/>
        <v>4881.7</v>
      </c>
      <c r="L1333" s="7">
        <f t="shared" si="513"/>
        <v>4881.7</v>
      </c>
      <c r="M1333" s="7">
        <f t="shared" si="513"/>
        <v>0</v>
      </c>
      <c r="N1333" s="7">
        <v>4881.7</v>
      </c>
      <c r="O1333" s="7">
        <v>4881.7</v>
      </c>
      <c r="P1333" s="349">
        <v>1355.9</v>
      </c>
      <c r="Q1333" s="257">
        <v>27.78</v>
      </c>
    </row>
    <row r="1334" spans="1:17" s="12" customFormat="1" ht="31.5">
      <c r="A1334" s="8" t="s">
        <v>389</v>
      </c>
      <c r="B1334" s="10" t="s">
        <v>510</v>
      </c>
      <c r="C1334" s="10">
        <v>10</v>
      </c>
      <c r="D1334" s="10" t="s">
        <v>11</v>
      </c>
      <c r="E1334" s="10" t="s">
        <v>89</v>
      </c>
      <c r="F1334" s="41" t="s">
        <v>369</v>
      </c>
      <c r="G1334" s="11"/>
      <c r="H1334" s="31"/>
      <c r="I1334" s="7"/>
      <c r="J1334" s="7"/>
      <c r="K1334" s="7">
        <v>4881.7</v>
      </c>
      <c r="L1334" s="7">
        <f>J1334+K1334</f>
        <v>4881.7</v>
      </c>
      <c r="M1334" s="7"/>
      <c r="N1334" s="7">
        <v>4881.7</v>
      </c>
      <c r="O1334" s="7">
        <v>4881.7</v>
      </c>
      <c r="P1334" s="349">
        <v>1355.9</v>
      </c>
      <c r="Q1334" s="257">
        <v>27.78</v>
      </c>
    </row>
    <row r="1335" spans="1:17" s="12" customFormat="1" ht="78.75">
      <c r="A1335" s="8" t="s">
        <v>442</v>
      </c>
      <c r="B1335" s="10" t="s">
        <v>510</v>
      </c>
      <c r="C1335" s="10">
        <v>10</v>
      </c>
      <c r="D1335" s="10" t="s">
        <v>11</v>
      </c>
      <c r="E1335" s="10" t="s">
        <v>443</v>
      </c>
      <c r="F1335" s="41"/>
      <c r="G1335" s="11"/>
      <c r="H1335" s="31"/>
      <c r="I1335" s="7"/>
      <c r="J1335" s="7">
        <f t="shared" ref="J1335:M1335" si="514">J1336</f>
        <v>0</v>
      </c>
      <c r="K1335" s="7">
        <f t="shared" si="514"/>
        <v>802</v>
      </c>
      <c r="L1335" s="7">
        <f t="shared" si="514"/>
        <v>802</v>
      </c>
      <c r="M1335" s="7">
        <f t="shared" si="514"/>
        <v>0</v>
      </c>
      <c r="N1335" s="7">
        <v>802</v>
      </c>
      <c r="O1335" s="7">
        <v>802</v>
      </c>
      <c r="P1335" s="349">
        <v>0</v>
      </c>
      <c r="Q1335" s="257">
        <v>0</v>
      </c>
    </row>
    <row r="1336" spans="1:17" s="12" customFormat="1" ht="31.5">
      <c r="A1336" s="8" t="s">
        <v>586</v>
      </c>
      <c r="B1336" s="10" t="s">
        <v>510</v>
      </c>
      <c r="C1336" s="10">
        <v>10</v>
      </c>
      <c r="D1336" s="10" t="s">
        <v>11</v>
      </c>
      <c r="E1336" s="10" t="s">
        <v>443</v>
      </c>
      <c r="F1336" s="41" t="s">
        <v>368</v>
      </c>
      <c r="G1336" s="11"/>
      <c r="H1336" s="31"/>
      <c r="I1336" s="7"/>
      <c r="J1336" s="7"/>
      <c r="K1336" s="7">
        <v>802</v>
      </c>
      <c r="L1336" s="7">
        <f>J1336+K1336</f>
        <v>802</v>
      </c>
      <c r="M1336" s="7"/>
      <c r="N1336" s="7">
        <v>802</v>
      </c>
      <c r="O1336" s="7">
        <v>802</v>
      </c>
      <c r="P1336" s="349">
        <v>0</v>
      </c>
      <c r="Q1336" s="257">
        <v>0</v>
      </c>
    </row>
    <row r="1337" spans="1:17" s="12" customFormat="1" ht="47.25">
      <c r="A1337" s="8" t="s">
        <v>95</v>
      </c>
      <c r="B1337" s="10" t="s">
        <v>510</v>
      </c>
      <c r="C1337" s="10">
        <v>10</v>
      </c>
      <c r="D1337" s="10" t="s">
        <v>11</v>
      </c>
      <c r="E1337" s="10" t="s">
        <v>96</v>
      </c>
      <c r="F1337" s="41"/>
      <c r="G1337" s="11"/>
      <c r="H1337" s="31"/>
      <c r="I1337" s="7"/>
      <c r="J1337" s="7">
        <f t="shared" ref="J1337:M1337" si="515">J1338+J1339</f>
        <v>0</v>
      </c>
      <c r="K1337" s="7">
        <f t="shared" si="515"/>
        <v>65942.8</v>
      </c>
      <c r="L1337" s="7">
        <f t="shared" si="515"/>
        <v>65942.8</v>
      </c>
      <c r="M1337" s="7">
        <f t="shared" si="515"/>
        <v>-0.1</v>
      </c>
      <c r="N1337" s="7">
        <v>65942.7</v>
      </c>
      <c r="O1337" s="7">
        <v>65942.7</v>
      </c>
      <c r="P1337" s="349">
        <v>55565.4</v>
      </c>
      <c r="Q1337" s="257">
        <v>84.26</v>
      </c>
    </row>
    <row r="1338" spans="1:17" s="12" customFormat="1" ht="31.5">
      <c r="A1338" s="8" t="s">
        <v>389</v>
      </c>
      <c r="B1338" s="10" t="s">
        <v>510</v>
      </c>
      <c r="C1338" s="10">
        <v>10</v>
      </c>
      <c r="D1338" s="10" t="s">
        <v>11</v>
      </c>
      <c r="E1338" s="10" t="s">
        <v>96</v>
      </c>
      <c r="F1338" s="41" t="s">
        <v>369</v>
      </c>
      <c r="G1338" s="11"/>
      <c r="H1338" s="31"/>
      <c r="I1338" s="7"/>
      <c r="J1338" s="7"/>
      <c r="K1338" s="7">
        <f>19500+42100</f>
        <v>61600</v>
      </c>
      <c r="L1338" s="7">
        <f>J1338+K1338</f>
        <v>61600</v>
      </c>
      <c r="M1338" s="7"/>
      <c r="N1338" s="7">
        <v>61600</v>
      </c>
      <c r="O1338" s="7">
        <v>61600</v>
      </c>
      <c r="P1338" s="349">
        <v>54378.7</v>
      </c>
      <c r="Q1338" s="257">
        <v>88.28</v>
      </c>
    </row>
    <row r="1339" spans="1:17" s="12" customFormat="1">
      <c r="A1339" s="9" t="s">
        <v>648</v>
      </c>
      <c r="B1339" s="10" t="s">
        <v>510</v>
      </c>
      <c r="C1339" s="10">
        <v>10</v>
      </c>
      <c r="D1339" s="10" t="s">
        <v>11</v>
      </c>
      <c r="E1339" s="10" t="s">
        <v>96</v>
      </c>
      <c r="F1339" s="41" t="s">
        <v>649</v>
      </c>
      <c r="G1339" s="11"/>
      <c r="H1339" s="31"/>
      <c r="I1339" s="7"/>
      <c r="J1339" s="7"/>
      <c r="K1339" s="7">
        <v>4342.8</v>
      </c>
      <c r="L1339" s="7">
        <f>J1339+K1339</f>
        <v>4342.8</v>
      </c>
      <c r="M1339" s="7">
        <v>-0.1</v>
      </c>
      <c r="N1339" s="7">
        <v>4342.7</v>
      </c>
      <c r="O1339" s="7">
        <v>4342.7</v>
      </c>
      <c r="P1339" s="349">
        <v>1186.7</v>
      </c>
      <c r="Q1339" s="257">
        <v>27.33</v>
      </c>
    </row>
    <row r="1340" spans="1:17" s="30" customFormat="1">
      <c r="A1340" s="26" t="s">
        <v>258</v>
      </c>
      <c r="B1340" s="27" t="s">
        <v>510</v>
      </c>
      <c r="C1340" s="27">
        <v>10</v>
      </c>
      <c r="D1340" s="27" t="s">
        <v>34</v>
      </c>
      <c r="E1340" s="27"/>
      <c r="F1340" s="27"/>
      <c r="G1340" s="28">
        <v>4256.5</v>
      </c>
      <c r="H1340" s="28">
        <v>28886</v>
      </c>
      <c r="I1340" s="29" t="e">
        <f>I1341+I1354+I1368</f>
        <v>#REF!</v>
      </c>
      <c r="J1340" s="29">
        <f t="shared" ref="J1340:M1340" si="516">J1341+J1354+J1368+J1349</f>
        <v>28886</v>
      </c>
      <c r="K1340" s="29">
        <f t="shared" si="516"/>
        <v>7046.9</v>
      </c>
      <c r="L1340" s="29">
        <f t="shared" si="516"/>
        <v>35932.9</v>
      </c>
      <c r="M1340" s="29">
        <f t="shared" si="516"/>
        <v>1974.2</v>
      </c>
      <c r="N1340" s="29">
        <v>37907.1</v>
      </c>
      <c r="O1340" s="29">
        <v>37990.800000000003</v>
      </c>
      <c r="P1340" s="348">
        <v>37951.599999999999</v>
      </c>
      <c r="Q1340" s="256">
        <v>99.9</v>
      </c>
    </row>
    <row r="1341" spans="1:17" s="12" customFormat="1" ht="47.25">
      <c r="A1341" s="8" t="s">
        <v>65</v>
      </c>
      <c r="B1341" s="10" t="s">
        <v>510</v>
      </c>
      <c r="C1341" s="10">
        <v>10</v>
      </c>
      <c r="D1341" s="10" t="s">
        <v>34</v>
      </c>
      <c r="E1341" s="41" t="s">
        <v>41</v>
      </c>
      <c r="F1341" s="10"/>
      <c r="G1341" s="11">
        <v>3522.5</v>
      </c>
      <c r="H1341" s="11">
        <v>28152</v>
      </c>
      <c r="I1341" s="7">
        <f t="shared" ref="I1341:M1341" si="517">I1342</f>
        <v>0</v>
      </c>
      <c r="J1341" s="7">
        <f t="shared" si="517"/>
        <v>28152</v>
      </c>
      <c r="K1341" s="7">
        <f t="shared" si="517"/>
        <v>1834.9</v>
      </c>
      <c r="L1341" s="7">
        <f t="shared" si="517"/>
        <v>29986.9</v>
      </c>
      <c r="M1341" s="7">
        <f t="shared" si="517"/>
        <v>86.4</v>
      </c>
      <c r="N1341" s="7">
        <v>30073.3</v>
      </c>
      <c r="O1341" s="7">
        <v>30073.3</v>
      </c>
      <c r="P1341" s="349">
        <v>30034.2</v>
      </c>
      <c r="Q1341" s="257">
        <v>99.87</v>
      </c>
    </row>
    <row r="1342" spans="1:17" s="12" customFormat="1">
      <c r="A1342" s="8" t="s">
        <v>42</v>
      </c>
      <c r="B1342" s="10" t="s">
        <v>510</v>
      </c>
      <c r="C1342" s="10">
        <v>10</v>
      </c>
      <c r="D1342" s="10" t="s">
        <v>34</v>
      </c>
      <c r="E1342" s="41" t="s">
        <v>43</v>
      </c>
      <c r="F1342" s="10"/>
      <c r="G1342" s="11">
        <v>3522.5</v>
      </c>
      <c r="H1342" s="11">
        <v>28152</v>
      </c>
      <c r="I1342" s="7">
        <f t="shared" ref="I1342:M1342" si="518">I1343+I1344+I1345+I1346+I1347+I1348</f>
        <v>0</v>
      </c>
      <c r="J1342" s="7">
        <f t="shared" si="518"/>
        <v>28152</v>
      </c>
      <c r="K1342" s="7">
        <f t="shared" si="518"/>
        <v>1834.9</v>
      </c>
      <c r="L1342" s="7">
        <f t="shared" si="518"/>
        <v>29986.9</v>
      </c>
      <c r="M1342" s="7">
        <f t="shared" si="518"/>
        <v>86.4</v>
      </c>
      <c r="N1342" s="7">
        <v>30073.3</v>
      </c>
      <c r="O1342" s="7">
        <v>30073.3</v>
      </c>
      <c r="P1342" s="349">
        <v>30034.2</v>
      </c>
      <c r="Q1342" s="257">
        <v>99.87</v>
      </c>
    </row>
    <row r="1343" spans="1:17" s="12" customFormat="1">
      <c r="A1343" s="8" t="s">
        <v>337</v>
      </c>
      <c r="B1343" s="10" t="s">
        <v>510</v>
      </c>
      <c r="C1343" s="10">
        <v>10</v>
      </c>
      <c r="D1343" s="10" t="s">
        <v>34</v>
      </c>
      <c r="E1343" s="41" t="s">
        <v>43</v>
      </c>
      <c r="F1343" s="10" t="s">
        <v>331</v>
      </c>
      <c r="G1343" s="11">
        <v>3699.5</v>
      </c>
      <c r="H1343" s="31">
        <v>23237.5</v>
      </c>
      <c r="I1343" s="7"/>
      <c r="J1343" s="7">
        <f t="shared" ref="J1343:J1348" si="519">H1343+I1343</f>
        <v>23237.5</v>
      </c>
      <c r="K1343" s="7">
        <f>189.7+544.6+200+632.6</f>
        <v>1566.9</v>
      </c>
      <c r="L1343" s="7">
        <f t="shared" ref="L1343:L1348" si="520">J1343+K1343</f>
        <v>24804.400000000001</v>
      </c>
      <c r="M1343" s="7">
        <v>86.4</v>
      </c>
      <c r="N1343" s="7">
        <v>24890.799999999999</v>
      </c>
      <c r="O1343" s="7">
        <v>24890.799999999999</v>
      </c>
      <c r="P1343" s="349">
        <v>24890.799999999999</v>
      </c>
      <c r="Q1343" s="257">
        <v>100</v>
      </c>
    </row>
    <row r="1344" spans="1:17" s="12" customFormat="1">
      <c r="A1344" s="8" t="s">
        <v>356</v>
      </c>
      <c r="B1344" s="10" t="s">
        <v>510</v>
      </c>
      <c r="C1344" s="10">
        <v>10</v>
      </c>
      <c r="D1344" s="10" t="s">
        <v>34</v>
      </c>
      <c r="E1344" s="41" t="s">
        <v>43</v>
      </c>
      <c r="F1344" s="10" t="s">
        <v>332</v>
      </c>
      <c r="G1344" s="11">
        <v>-60</v>
      </c>
      <c r="H1344" s="31">
        <v>560</v>
      </c>
      <c r="I1344" s="7"/>
      <c r="J1344" s="7">
        <f t="shared" si="519"/>
        <v>560</v>
      </c>
      <c r="K1344" s="7">
        <f>30+50</f>
        <v>80</v>
      </c>
      <c r="L1344" s="7">
        <f t="shared" si="520"/>
        <v>640</v>
      </c>
      <c r="M1344" s="7"/>
      <c r="N1344" s="7">
        <v>640</v>
      </c>
      <c r="O1344" s="7">
        <v>640</v>
      </c>
      <c r="P1344" s="349">
        <v>639.9</v>
      </c>
      <c r="Q1344" s="257">
        <v>99.98</v>
      </c>
    </row>
    <row r="1345" spans="1:17" s="12" customFormat="1" ht="31.5">
      <c r="A1345" s="8" t="s">
        <v>361</v>
      </c>
      <c r="B1345" s="10" t="s">
        <v>510</v>
      </c>
      <c r="C1345" s="10">
        <v>10</v>
      </c>
      <c r="D1345" s="10" t="s">
        <v>34</v>
      </c>
      <c r="E1345" s="41" t="s">
        <v>43</v>
      </c>
      <c r="F1345" s="10" t="s">
        <v>333</v>
      </c>
      <c r="G1345" s="11">
        <v>302.3</v>
      </c>
      <c r="H1345" s="31">
        <v>1152.3</v>
      </c>
      <c r="I1345" s="7"/>
      <c r="J1345" s="7">
        <f t="shared" si="519"/>
        <v>1152.3</v>
      </c>
      <c r="K1345" s="7">
        <f>-56.4</f>
        <v>-56.4</v>
      </c>
      <c r="L1345" s="7">
        <f t="shared" si="520"/>
        <v>1095.9000000000001</v>
      </c>
      <c r="M1345" s="7"/>
      <c r="N1345" s="7">
        <v>1095.9000000000001</v>
      </c>
      <c r="O1345" s="7">
        <v>1095.9000000000001</v>
      </c>
      <c r="P1345" s="349">
        <v>1088.4000000000001</v>
      </c>
      <c r="Q1345" s="257">
        <v>99.32</v>
      </c>
    </row>
    <row r="1346" spans="1:17" s="12" customFormat="1">
      <c r="A1346" s="8" t="s">
        <v>362</v>
      </c>
      <c r="B1346" s="10" t="s">
        <v>510</v>
      </c>
      <c r="C1346" s="10">
        <v>10</v>
      </c>
      <c r="D1346" s="10" t="s">
        <v>34</v>
      </c>
      <c r="E1346" s="41" t="s">
        <v>43</v>
      </c>
      <c r="F1346" s="10" t="s">
        <v>334</v>
      </c>
      <c r="G1346" s="11">
        <v>-485.8</v>
      </c>
      <c r="H1346" s="31">
        <v>3054.2</v>
      </c>
      <c r="I1346" s="7"/>
      <c r="J1346" s="7">
        <f t="shared" si="519"/>
        <v>3054.2</v>
      </c>
      <c r="K1346" s="7">
        <f>468+26.4-250</f>
        <v>244.4</v>
      </c>
      <c r="L1346" s="7">
        <f t="shared" si="520"/>
        <v>3298.6</v>
      </c>
      <c r="M1346" s="7">
        <v>35</v>
      </c>
      <c r="N1346" s="7">
        <v>3333.6</v>
      </c>
      <c r="O1346" s="7">
        <v>3333.6</v>
      </c>
      <c r="P1346" s="349">
        <v>3302.1</v>
      </c>
      <c r="Q1346" s="257">
        <v>99.06</v>
      </c>
    </row>
    <row r="1347" spans="1:17" s="12" customFormat="1">
      <c r="A1347" s="8" t="s">
        <v>384</v>
      </c>
      <c r="B1347" s="10" t="s">
        <v>510</v>
      </c>
      <c r="C1347" s="10">
        <v>10</v>
      </c>
      <c r="D1347" s="10" t="s">
        <v>34</v>
      </c>
      <c r="E1347" s="41" t="s">
        <v>43</v>
      </c>
      <c r="F1347" s="10" t="s">
        <v>335</v>
      </c>
      <c r="G1347" s="11">
        <v>0</v>
      </c>
      <c r="H1347" s="31">
        <v>81.5</v>
      </c>
      <c r="I1347" s="7"/>
      <c r="J1347" s="7">
        <f t="shared" si="519"/>
        <v>81.5</v>
      </c>
      <c r="K1347" s="7"/>
      <c r="L1347" s="7">
        <f t="shared" si="520"/>
        <v>81.5</v>
      </c>
      <c r="M1347" s="7"/>
      <c r="N1347" s="7">
        <v>81.5</v>
      </c>
      <c r="O1347" s="7">
        <v>81.5</v>
      </c>
      <c r="P1347" s="349">
        <v>81.5</v>
      </c>
      <c r="Q1347" s="257">
        <v>100</v>
      </c>
    </row>
    <row r="1348" spans="1:17" s="12" customFormat="1">
      <c r="A1348" s="8" t="s">
        <v>380</v>
      </c>
      <c r="B1348" s="10" t="s">
        <v>510</v>
      </c>
      <c r="C1348" s="10">
        <v>10</v>
      </c>
      <c r="D1348" s="10" t="s">
        <v>34</v>
      </c>
      <c r="E1348" s="41" t="s">
        <v>43</v>
      </c>
      <c r="F1348" s="10" t="s">
        <v>336</v>
      </c>
      <c r="G1348" s="11">
        <v>66.5</v>
      </c>
      <c r="H1348" s="31">
        <v>66.5</v>
      </c>
      <c r="I1348" s="7"/>
      <c r="J1348" s="7">
        <f t="shared" si="519"/>
        <v>66.5</v>
      </c>
      <c r="K1348" s="7"/>
      <c r="L1348" s="7">
        <f t="shared" si="520"/>
        <v>66.5</v>
      </c>
      <c r="M1348" s="7">
        <v>-35</v>
      </c>
      <c r="N1348" s="7">
        <v>31.5</v>
      </c>
      <c r="O1348" s="7">
        <v>31.5</v>
      </c>
      <c r="P1348" s="349">
        <v>31.5</v>
      </c>
      <c r="Q1348" s="257">
        <v>100</v>
      </c>
    </row>
    <row r="1349" spans="1:17" s="12" customFormat="1" ht="31.5">
      <c r="A1349" s="8" t="s">
        <v>960</v>
      </c>
      <c r="B1349" s="10" t="s">
        <v>510</v>
      </c>
      <c r="C1349" s="10">
        <v>10</v>
      </c>
      <c r="D1349" s="10" t="s">
        <v>34</v>
      </c>
      <c r="E1349" s="41" t="s">
        <v>959</v>
      </c>
      <c r="F1349" s="10"/>
      <c r="G1349" s="11"/>
      <c r="H1349" s="31"/>
      <c r="I1349" s="7"/>
      <c r="J1349" s="7">
        <f t="shared" ref="J1349:M1350" si="521">J1350</f>
        <v>0</v>
      </c>
      <c r="K1349" s="7">
        <f t="shared" si="521"/>
        <v>4942</v>
      </c>
      <c r="L1349" s="7">
        <f t="shared" si="521"/>
        <v>4942</v>
      </c>
      <c r="M1349" s="7">
        <f t="shared" si="521"/>
        <v>0</v>
      </c>
      <c r="N1349" s="7">
        <v>4942</v>
      </c>
      <c r="O1349" s="7">
        <v>5025.7</v>
      </c>
      <c r="P1349" s="349">
        <v>5025.6000000000004</v>
      </c>
      <c r="Q1349" s="257">
        <v>100</v>
      </c>
    </row>
    <row r="1350" spans="1:17" s="12" customFormat="1" ht="31.5">
      <c r="A1350" s="8" t="s">
        <v>958</v>
      </c>
      <c r="B1350" s="10" t="s">
        <v>510</v>
      </c>
      <c r="C1350" s="10">
        <v>10</v>
      </c>
      <c r="D1350" s="10" t="s">
        <v>34</v>
      </c>
      <c r="E1350" s="41" t="s">
        <v>957</v>
      </c>
      <c r="F1350" s="10"/>
      <c r="G1350" s="11"/>
      <c r="H1350" s="31"/>
      <c r="I1350" s="7"/>
      <c r="J1350" s="7">
        <f t="shared" si="521"/>
        <v>0</v>
      </c>
      <c r="K1350" s="7">
        <f t="shared" si="521"/>
        <v>4942</v>
      </c>
      <c r="L1350" s="7">
        <f t="shared" si="521"/>
        <v>4942</v>
      </c>
      <c r="M1350" s="7">
        <f t="shared" si="521"/>
        <v>0</v>
      </c>
      <c r="N1350" s="7">
        <v>4942</v>
      </c>
      <c r="O1350" s="7">
        <v>4942</v>
      </c>
      <c r="P1350" s="349">
        <v>4941.8999999999996</v>
      </c>
      <c r="Q1350" s="257">
        <v>100</v>
      </c>
    </row>
    <row r="1351" spans="1:17" s="12" customFormat="1" ht="31.5">
      <c r="A1351" s="8" t="s">
        <v>330</v>
      </c>
      <c r="B1351" s="10" t="s">
        <v>510</v>
      </c>
      <c r="C1351" s="10">
        <v>10</v>
      </c>
      <c r="D1351" s="10" t="s">
        <v>34</v>
      </c>
      <c r="E1351" s="41" t="s">
        <v>957</v>
      </c>
      <c r="F1351" s="10" t="s">
        <v>329</v>
      </c>
      <c r="G1351" s="11"/>
      <c r="H1351" s="31"/>
      <c r="I1351" s="7"/>
      <c r="J1351" s="7"/>
      <c r="K1351" s="7">
        <v>4942</v>
      </c>
      <c r="L1351" s="7">
        <f>J1351+K1351</f>
        <v>4942</v>
      </c>
      <c r="M1351" s="7"/>
      <c r="N1351" s="7">
        <v>4942</v>
      </c>
      <c r="O1351" s="7">
        <v>4942</v>
      </c>
      <c r="P1351" s="349">
        <v>4941.8999999999996</v>
      </c>
      <c r="Q1351" s="257">
        <v>100</v>
      </c>
    </row>
    <row r="1352" spans="1:17" s="12" customFormat="1" ht="94.5">
      <c r="A1352" s="8" t="s">
        <v>1055</v>
      </c>
      <c r="B1352" s="10" t="s">
        <v>510</v>
      </c>
      <c r="C1352" s="10">
        <v>10</v>
      </c>
      <c r="D1352" s="10" t="s">
        <v>34</v>
      </c>
      <c r="E1352" s="10" t="s">
        <v>1054</v>
      </c>
      <c r="F1352" s="10"/>
      <c r="G1352" s="11"/>
      <c r="H1352" s="31"/>
      <c r="I1352" s="7"/>
      <c r="J1352" s="7"/>
      <c r="K1352" s="7"/>
      <c r="L1352" s="7"/>
      <c r="M1352" s="7"/>
      <c r="N1352" s="7">
        <v>0</v>
      </c>
      <c r="O1352" s="7">
        <v>83.7</v>
      </c>
      <c r="P1352" s="349">
        <v>83.7</v>
      </c>
      <c r="Q1352" s="257">
        <v>100</v>
      </c>
    </row>
    <row r="1353" spans="1:17" s="12" customFormat="1" ht="31.5">
      <c r="A1353" s="8" t="s">
        <v>586</v>
      </c>
      <c r="B1353" s="10" t="s">
        <v>510</v>
      </c>
      <c r="C1353" s="10">
        <v>10</v>
      </c>
      <c r="D1353" s="10" t="s">
        <v>34</v>
      </c>
      <c r="E1353" s="10" t="s">
        <v>1054</v>
      </c>
      <c r="F1353" s="10" t="s">
        <v>368</v>
      </c>
      <c r="G1353" s="11"/>
      <c r="H1353" s="31"/>
      <c r="I1353" s="7"/>
      <c r="J1353" s="7"/>
      <c r="K1353" s="7"/>
      <c r="L1353" s="7"/>
      <c r="M1353" s="7"/>
      <c r="N1353" s="7">
        <v>0</v>
      </c>
      <c r="O1353" s="7">
        <v>83.7</v>
      </c>
      <c r="P1353" s="349">
        <v>83.7</v>
      </c>
      <c r="Q1353" s="257">
        <v>100</v>
      </c>
    </row>
    <row r="1354" spans="1:17" s="12" customFormat="1">
      <c r="A1354" s="8" t="s">
        <v>17</v>
      </c>
      <c r="B1354" s="10" t="s">
        <v>510</v>
      </c>
      <c r="C1354" s="10">
        <v>10</v>
      </c>
      <c r="D1354" s="10" t="s">
        <v>34</v>
      </c>
      <c r="E1354" s="10" t="s">
        <v>18</v>
      </c>
      <c r="F1354" s="10"/>
      <c r="G1354" s="11">
        <v>490</v>
      </c>
      <c r="H1354" s="11">
        <v>490</v>
      </c>
      <c r="I1354" s="7" t="e">
        <f>I1355+I1359+#REF!+I1364+I1362</f>
        <v>#REF!</v>
      </c>
      <c r="J1354" s="7">
        <f t="shared" ref="J1354:M1354" si="522">J1355+J1359+J1364+J1362</f>
        <v>534</v>
      </c>
      <c r="K1354" s="7">
        <f t="shared" si="522"/>
        <v>150</v>
      </c>
      <c r="L1354" s="7">
        <f t="shared" si="522"/>
        <v>684</v>
      </c>
      <c r="M1354" s="7">
        <f t="shared" si="522"/>
        <v>420.4</v>
      </c>
      <c r="N1354" s="7">
        <v>1104.4000000000001</v>
      </c>
      <c r="O1354" s="7">
        <v>1104.4000000000001</v>
      </c>
      <c r="P1354" s="349">
        <v>1104.4000000000001</v>
      </c>
      <c r="Q1354" s="257">
        <v>100</v>
      </c>
    </row>
    <row r="1355" spans="1:17" s="12" customFormat="1" ht="31.5">
      <c r="A1355" s="8" t="s">
        <v>642</v>
      </c>
      <c r="B1355" s="10" t="s">
        <v>510</v>
      </c>
      <c r="C1355" s="10">
        <v>10</v>
      </c>
      <c r="D1355" s="10" t="s">
        <v>34</v>
      </c>
      <c r="E1355" s="34" t="s">
        <v>643</v>
      </c>
      <c r="F1355" s="10"/>
      <c r="G1355" s="11">
        <v>300</v>
      </c>
      <c r="H1355" s="11">
        <v>300</v>
      </c>
      <c r="I1355" s="7" t="e">
        <f>I1357+#REF!</f>
        <v>#REF!</v>
      </c>
      <c r="J1355" s="7">
        <f>J1357+J1356</f>
        <v>300</v>
      </c>
      <c r="K1355" s="7">
        <f>K1357+K1356</f>
        <v>100</v>
      </c>
      <c r="L1355" s="7">
        <f>L1357+L1356+L1358</f>
        <v>400</v>
      </c>
      <c r="M1355" s="7">
        <f>M1357+M1356+M1358</f>
        <v>420.4</v>
      </c>
      <c r="N1355" s="7">
        <v>820.4</v>
      </c>
      <c r="O1355" s="7">
        <v>820.4</v>
      </c>
      <c r="P1355" s="349">
        <v>820.4</v>
      </c>
      <c r="Q1355" s="257">
        <v>100</v>
      </c>
    </row>
    <row r="1356" spans="1:17" s="12" customFormat="1">
      <c r="A1356" s="8" t="s">
        <v>356</v>
      </c>
      <c r="B1356" s="10" t="s">
        <v>510</v>
      </c>
      <c r="C1356" s="10">
        <v>10</v>
      </c>
      <c r="D1356" s="10" t="s">
        <v>34</v>
      </c>
      <c r="E1356" s="34" t="s">
        <v>643</v>
      </c>
      <c r="F1356" s="10" t="s">
        <v>332</v>
      </c>
      <c r="G1356" s="11"/>
      <c r="H1356" s="11"/>
      <c r="I1356" s="7"/>
      <c r="J1356" s="7"/>
      <c r="K1356" s="7">
        <v>145.80000000000001</v>
      </c>
      <c r="L1356" s="7">
        <f>J1356+K1356</f>
        <v>145.80000000000001</v>
      </c>
      <c r="M1356" s="7">
        <v>62.4</v>
      </c>
      <c r="N1356" s="7">
        <v>208.2</v>
      </c>
      <c r="O1356" s="7">
        <v>208.2</v>
      </c>
      <c r="P1356" s="349">
        <v>208.2</v>
      </c>
      <c r="Q1356" s="257">
        <v>100</v>
      </c>
    </row>
    <row r="1357" spans="1:17" s="12" customFormat="1">
      <c r="A1357" s="8" t="s">
        <v>362</v>
      </c>
      <c r="B1357" s="10" t="s">
        <v>510</v>
      </c>
      <c r="C1357" s="10">
        <v>10</v>
      </c>
      <c r="D1357" s="10" t="s">
        <v>34</v>
      </c>
      <c r="E1357" s="34" t="s">
        <v>643</v>
      </c>
      <c r="F1357" s="10" t="s">
        <v>334</v>
      </c>
      <c r="G1357" s="11">
        <v>300</v>
      </c>
      <c r="H1357" s="31">
        <v>300</v>
      </c>
      <c r="I1357" s="7"/>
      <c r="J1357" s="7">
        <f>H1357+I1357</f>
        <v>300</v>
      </c>
      <c r="K1357" s="7">
        <f>-145.8+100</f>
        <v>-45.8</v>
      </c>
      <c r="L1357" s="7">
        <f>J1357+K1357</f>
        <v>254.2</v>
      </c>
      <c r="M1357" s="7"/>
      <c r="N1357" s="7">
        <v>254.2</v>
      </c>
      <c r="O1357" s="7">
        <v>254.2</v>
      </c>
      <c r="P1357" s="349">
        <v>254.2</v>
      </c>
      <c r="Q1357" s="257">
        <v>100</v>
      </c>
    </row>
    <row r="1358" spans="1:17" s="12" customFormat="1" ht="31.5">
      <c r="A1358" s="8" t="s">
        <v>330</v>
      </c>
      <c r="B1358" s="10" t="s">
        <v>510</v>
      </c>
      <c r="C1358" s="10">
        <v>10</v>
      </c>
      <c r="D1358" s="10" t="s">
        <v>34</v>
      </c>
      <c r="E1358" s="34" t="s">
        <v>643</v>
      </c>
      <c r="F1358" s="10" t="s">
        <v>329</v>
      </c>
      <c r="G1358" s="11"/>
      <c r="H1358" s="31"/>
      <c r="I1358" s="7"/>
      <c r="J1358" s="7"/>
      <c r="K1358" s="7"/>
      <c r="L1358" s="7"/>
      <c r="M1358" s="7">
        <v>358</v>
      </c>
      <c r="N1358" s="7">
        <v>358</v>
      </c>
      <c r="O1358" s="7">
        <v>358</v>
      </c>
      <c r="P1358" s="349">
        <v>358</v>
      </c>
      <c r="Q1358" s="257">
        <v>100</v>
      </c>
    </row>
    <row r="1359" spans="1:17" s="12" customFormat="1" ht="31.5">
      <c r="A1359" s="8" t="s">
        <v>637</v>
      </c>
      <c r="B1359" s="10" t="s">
        <v>510</v>
      </c>
      <c r="C1359" s="10">
        <v>10</v>
      </c>
      <c r="D1359" s="10" t="s">
        <v>34</v>
      </c>
      <c r="E1359" s="34" t="s">
        <v>638</v>
      </c>
      <c r="F1359" s="10"/>
      <c r="G1359" s="11">
        <v>55</v>
      </c>
      <c r="H1359" s="11">
        <v>55</v>
      </c>
      <c r="I1359" s="7">
        <f>I1360</f>
        <v>0</v>
      </c>
      <c r="J1359" s="7">
        <f>J1360</f>
        <v>55</v>
      </c>
      <c r="K1359" s="7">
        <f t="shared" ref="K1359:M1359" si="523">K1360+K1361</f>
        <v>50</v>
      </c>
      <c r="L1359" s="7">
        <f t="shared" si="523"/>
        <v>105</v>
      </c>
      <c r="M1359" s="7">
        <f t="shared" si="523"/>
        <v>0</v>
      </c>
      <c r="N1359" s="7">
        <v>105</v>
      </c>
      <c r="O1359" s="7">
        <v>105</v>
      </c>
      <c r="P1359" s="349">
        <v>105</v>
      </c>
      <c r="Q1359" s="257">
        <v>100</v>
      </c>
    </row>
    <row r="1360" spans="1:17" s="12" customFormat="1">
      <c r="A1360" s="8" t="s">
        <v>362</v>
      </c>
      <c r="B1360" s="10" t="s">
        <v>510</v>
      </c>
      <c r="C1360" s="10">
        <v>10</v>
      </c>
      <c r="D1360" s="10" t="s">
        <v>34</v>
      </c>
      <c r="E1360" s="34" t="s">
        <v>638</v>
      </c>
      <c r="F1360" s="10" t="s">
        <v>334</v>
      </c>
      <c r="G1360" s="11">
        <v>55</v>
      </c>
      <c r="H1360" s="31">
        <v>55</v>
      </c>
      <c r="I1360" s="7"/>
      <c r="J1360" s="7">
        <f>H1360+I1360</f>
        <v>55</v>
      </c>
      <c r="K1360" s="7"/>
      <c r="L1360" s="7">
        <f>J1360+K1360</f>
        <v>55</v>
      </c>
      <c r="M1360" s="7"/>
      <c r="N1360" s="7">
        <v>55</v>
      </c>
      <c r="O1360" s="7">
        <v>55</v>
      </c>
      <c r="P1360" s="349">
        <v>55</v>
      </c>
      <c r="Q1360" s="257">
        <v>100</v>
      </c>
    </row>
    <row r="1361" spans="1:17" s="12" customFormat="1" ht="31.5">
      <c r="A1361" s="8" t="s">
        <v>586</v>
      </c>
      <c r="B1361" s="10" t="s">
        <v>510</v>
      </c>
      <c r="C1361" s="10">
        <v>10</v>
      </c>
      <c r="D1361" s="10" t="s">
        <v>34</v>
      </c>
      <c r="E1361" s="34" t="s">
        <v>638</v>
      </c>
      <c r="F1361" s="10" t="s">
        <v>368</v>
      </c>
      <c r="G1361" s="11"/>
      <c r="H1361" s="31"/>
      <c r="I1361" s="7"/>
      <c r="J1361" s="7"/>
      <c r="K1361" s="7">
        <v>50</v>
      </c>
      <c r="L1361" s="7">
        <f>J1361+K1361</f>
        <v>50</v>
      </c>
      <c r="M1361" s="7"/>
      <c r="N1361" s="7">
        <v>50</v>
      </c>
      <c r="O1361" s="7">
        <v>50</v>
      </c>
      <c r="P1361" s="349">
        <v>50</v>
      </c>
      <c r="Q1361" s="257">
        <v>100</v>
      </c>
    </row>
    <row r="1362" spans="1:17" s="12" customFormat="1" ht="31.5">
      <c r="A1362" s="8" t="s">
        <v>867</v>
      </c>
      <c r="B1362" s="10" t="s">
        <v>510</v>
      </c>
      <c r="C1362" s="10">
        <v>10</v>
      </c>
      <c r="D1362" s="10" t="s">
        <v>34</v>
      </c>
      <c r="E1362" s="34" t="s">
        <v>866</v>
      </c>
      <c r="F1362" s="10"/>
      <c r="G1362" s="11"/>
      <c r="H1362" s="31">
        <f t="shared" ref="H1362:M1362" si="524">H1363</f>
        <v>0</v>
      </c>
      <c r="I1362" s="7">
        <f t="shared" si="524"/>
        <v>44</v>
      </c>
      <c r="J1362" s="7">
        <f t="shared" si="524"/>
        <v>44</v>
      </c>
      <c r="K1362" s="7">
        <f t="shared" si="524"/>
        <v>0</v>
      </c>
      <c r="L1362" s="7">
        <f t="shared" si="524"/>
        <v>44</v>
      </c>
      <c r="M1362" s="7">
        <f t="shared" si="524"/>
        <v>0</v>
      </c>
      <c r="N1362" s="7">
        <v>44</v>
      </c>
      <c r="O1362" s="7">
        <v>44</v>
      </c>
      <c r="P1362" s="349">
        <v>44</v>
      </c>
      <c r="Q1362" s="257">
        <v>100</v>
      </c>
    </row>
    <row r="1363" spans="1:17" s="12" customFormat="1">
      <c r="A1363" s="8" t="s">
        <v>362</v>
      </c>
      <c r="B1363" s="10" t="s">
        <v>510</v>
      </c>
      <c r="C1363" s="10">
        <v>10</v>
      </c>
      <c r="D1363" s="10" t="s">
        <v>34</v>
      </c>
      <c r="E1363" s="34" t="s">
        <v>866</v>
      </c>
      <c r="F1363" s="10" t="s">
        <v>334</v>
      </c>
      <c r="G1363" s="11"/>
      <c r="H1363" s="31"/>
      <c r="I1363" s="40">
        <v>44</v>
      </c>
      <c r="J1363" s="7">
        <f>H1363+I1363</f>
        <v>44</v>
      </c>
      <c r="K1363" s="7"/>
      <c r="L1363" s="7">
        <f>J1363+K1363</f>
        <v>44</v>
      </c>
      <c r="M1363" s="7"/>
      <c r="N1363" s="7">
        <v>44</v>
      </c>
      <c r="O1363" s="7">
        <v>44</v>
      </c>
      <c r="P1363" s="349">
        <v>44</v>
      </c>
      <c r="Q1363" s="257">
        <v>100</v>
      </c>
    </row>
    <row r="1364" spans="1:17" s="12" customFormat="1">
      <c r="A1364" s="8" t="s">
        <v>1009</v>
      </c>
      <c r="B1364" s="10" t="s">
        <v>510</v>
      </c>
      <c r="C1364" s="10">
        <v>10</v>
      </c>
      <c r="D1364" s="10" t="s">
        <v>34</v>
      </c>
      <c r="E1364" s="34" t="s">
        <v>66</v>
      </c>
      <c r="F1364" s="10"/>
      <c r="G1364" s="11">
        <v>135</v>
      </c>
      <c r="H1364" s="11">
        <v>135</v>
      </c>
      <c r="I1364" s="7">
        <f>I1365+I1367</f>
        <v>0</v>
      </c>
      <c r="J1364" s="7">
        <f>J1365+J1367</f>
        <v>135</v>
      </c>
      <c r="K1364" s="7">
        <f>K1365+K1367</f>
        <v>0</v>
      </c>
      <c r="L1364" s="7">
        <f>L1365+L1367+L1366</f>
        <v>135</v>
      </c>
      <c r="M1364" s="7">
        <f>M1365+M1367+M1366</f>
        <v>0</v>
      </c>
      <c r="N1364" s="7">
        <v>135</v>
      </c>
      <c r="O1364" s="7">
        <v>135</v>
      </c>
      <c r="P1364" s="349">
        <v>135</v>
      </c>
      <c r="Q1364" s="257">
        <v>100</v>
      </c>
    </row>
    <row r="1365" spans="1:17" s="12" customFormat="1">
      <c r="A1365" s="8" t="s">
        <v>356</v>
      </c>
      <c r="B1365" s="10" t="s">
        <v>510</v>
      </c>
      <c r="C1365" s="10">
        <v>10</v>
      </c>
      <c r="D1365" s="10" t="s">
        <v>34</v>
      </c>
      <c r="E1365" s="34" t="s">
        <v>66</v>
      </c>
      <c r="F1365" s="10" t="s">
        <v>332</v>
      </c>
      <c r="G1365" s="11">
        <v>45.2</v>
      </c>
      <c r="H1365" s="11">
        <v>45.2</v>
      </c>
      <c r="I1365" s="7"/>
      <c r="J1365" s="7">
        <f>H1365+I1365</f>
        <v>45.2</v>
      </c>
      <c r="K1365" s="7"/>
      <c r="L1365" s="7">
        <f>J1365+K1365</f>
        <v>45.2</v>
      </c>
      <c r="M1365" s="7"/>
      <c r="N1365" s="7">
        <v>45.2</v>
      </c>
      <c r="O1365" s="7">
        <v>45.2</v>
      </c>
      <c r="P1365" s="349">
        <v>45.2</v>
      </c>
      <c r="Q1365" s="257">
        <v>100</v>
      </c>
    </row>
    <row r="1366" spans="1:17" s="12" customFormat="1" ht="31.5">
      <c r="A1366" s="8" t="s">
        <v>361</v>
      </c>
      <c r="B1366" s="10" t="s">
        <v>510</v>
      </c>
      <c r="C1366" s="10">
        <v>10</v>
      </c>
      <c r="D1366" s="10" t="s">
        <v>34</v>
      </c>
      <c r="E1366" s="34" t="s">
        <v>66</v>
      </c>
      <c r="F1366" s="10" t="s">
        <v>333</v>
      </c>
      <c r="G1366" s="11"/>
      <c r="H1366" s="11"/>
      <c r="I1366" s="7"/>
      <c r="J1366" s="7"/>
      <c r="K1366" s="7"/>
      <c r="L1366" s="7"/>
      <c r="M1366" s="7">
        <v>11</v>
      </c>
      <c r="N1366" s="7">
        <v>11</v>
      </c>
      <c r="O1366" s="7">
        <v>11</v>
      </c>
      <c r="P1366" s="349">
        <v>11</v>
      </c>
      <c r="Q1366" s="257">
        <v>100</v>
      </c>
    </row>
    <row r="1367" spans="1:17" s="12" customFormat="1">
      <c r="A1367" s="8" t="s">
        <v>362</v>
      </c>
      <c r="B1367" s="10" t="s">
        <v>510</v>
      </c>
      <c r="C1367" s="10">
        <v>10</v>
      </c>
      <c r="D1367" s="10" t="s">
        <v>34</v>
      </c>
      <c r="E1367" s="34" t="s">
        <v>66</v>
      </c>
      <c r="F1367" s="10" t="s">
        <v>334</v>
      </c>
      <c r="G1367" s="11">
        <v>89.8</v>
      </c>
      <c r="H1367" s="31">
        <v>89.8</v>
      </c>
      <c r="I1367" s="7"/>
      <c r="J1367" s="7">
        <f>H1367+I1367</f>
        <v>89.8</v>
      </c>
      <c r="K1367" s="7"/>
      <c r="L1367" s="7">
        <f>J1367+K1367</f>
        <v>89.8</v>
      </c>
      <c r="M1367" s="7">
        <v>-11</v>
      </c>
      <c r="N1367" s="7">
        <v>78.8</v>
      </c>
      <c r="O1367" s="7">
        <v>78.8</v>
      </c>
      <c r="P1367" s="349">
        <v>78.8</v>
      </c>
      <c r="Q1367" s="257">
        <v>100</v>
      </c>
    </row>
    <row r="1368" spans="1:17" s="12" customFormat="1">
      <c r="A1368" s="8" t="s">
        <v>363</v>
      </c>
      <c r="B1368" s="10" t="s">
        <v>510</v>
      </c>
      <c r="C1368" s="10">
        <v>10</v>
      </c>
      <c r="D1368" s="10" t="s">
        <v>34</v>
      </c>
      <c r="E1368" s="34" t="s">
        <v>364</v>
      </c>
      <c r="F1368" s="10"/>
      <c r="G1368" s="11">
        <v>244</v>
      </c>
      <c r="H1368" s="11">
        <v>244</v>
      </c>
      <c r="I1368" s="7" t="e">
        <f>I1369+I1373+#REF!</f>
        <v>#REF!</v>
      </c>
      <c r="J1368" s="7">
        <f>J1369+J1373</f>
        <v>200</v>
      </c>
      <c r="K1368" s="7">
        <f>K1369+K1373</f>
        <v>120</v>
      </c>
      <c r="L1368" s="7">
        <f>L1369+L1373+L1376</f>
        <v>320</v>
      </c>
      <c r="M1368" s="7">
        <f>M1369+M1373+M1376</f>
        <v>1467.4</v>
      </c>
      <c r="N1368" s="7">
        <v>1787.4</v>
      </c>
      <c r="O1368" s="7">
        <v>1787.4</v>
      </c>
      <c r="P1368" s="349">
        <v>1787.4</v>
      </c>
      <c r="Q1368" s="257">
        <v>100</v>
      </c>
    </row>
    <row r="1369" spans="1:17" s="12" customFormat="1" ht="31.5">
      <c r="A1369" s="8" t="s">
        <v>706</v>
      </c>
      <c r="B1369" s="10" t="s">
        <v>510</v>
      </c>
      <c r="C1369" s="10">
        <v>10</v>
      </c>
      <c r="D1369" s="10" t="s">
        <v>34</v>
      </c>
      <c r="E1369" s="34" t="s">
        <v>708</v>
      </c>
      <c r="F1369" s="10"/>
      <c r="G1369" s="11">
        <v>100</v>
      </c>
      <c r="H1369" s="31">
        <v>100</v>
      </c>
      <c r="I1369" s="7">
        <f>I1371+I1372</f>
        <v>0</v>
      </c>
      <c r="J1369" s="7">
        <f t="shared" ref="J1369:M1369" si="525">J1371+J1372+J1370</f>
        <v>100</v>
      </c>
      <c r="K1369" s="7">
        <f t="shared" si="525"/>
        <v>0</v>
      </c>
      <c r="L1369" s="7">
        <f t="shared" si="525"/>
        <v>100</v>
      </c>
      <c r="M1369" s="7">
        <f t="shared" si="525"/>
        <v>0</v>
      </c>
      <c r="N1369" s="7">
        <v>100</v>
      </c>
      <c r="O1369" s="7">
        <v>100</v>
      </c>
      <c r="P1369" s="349">
        <v>100</v>
      </c>
      <c r="Q1369" s="257">
        <v>100</v>
      </c>
    </row>
    <row r="1370" spans="1:17" s="12" customFormat="1">
      <c r="A1370" s="8" t="s">
        <v>356</v>
      </c>
      <c r="B1370" s="10" t="s">
        <v>510</v>
      </c>
      <c r="C1370" s="10">
        <v>10</v>
      </c>
      <c r="D1370" s="10" t="s">
        <v>34</v>
      </c>
      <c r="E1370" s="34" t="s">
        <v>708</v>
      </c>
      <c r="F1370" s="10" t="s">
        <v>332</v>
      </c>
      <c r="G1370" s="11"/>
      <c r="H1370" s="31"/>
      <c r="I1370" s="7"/>
      <c r="J1370" s="7"/>
      <c r="K1370" s="7">
        <v>7.4</v>
      </c>
      <c r="L1370" s="7">
        <f>J1370+K1370</f>
        <v>7.4</v>
      </c>
      <c r="M1370" s="7"/>
      <c r="N1370" s="7">
        <v>7.4</v>
      </c>
      <c r="O1370" s="7">
        <v>7.4</v>
      </c>
      <c r="P1370" s="349">
        <v>7.4</v>
      </c>
      <c r="Q1370" s="257">
        <v>100</v>
      </c>
    </row>
    <row r="1371" spans="1:17" s="12" customFormat="1" ht="31.5">
      <c r="A1371" s="8" t="s">
        <v>361</v>
      </c>
      <c r="B1371" s="10" t="s">
        <v>510</v>
      </c>
      <c r="C1371" s="10">
        <v>10</v>
      </c>
      <c r="D1371" s="10" t="s">
        <v>34</v>
      </c>
      <c r="E1371" s="34" t="s">
        <v>708</v>
      </c>
      <c r="F1371" s="10" t="s">
        <v>333</v>
      </c>
      <c r="G1371" s="11">
        <v>80</v>
      </c>
      <c r="H1371" s="31">
        <v>80</v>
      </c>
      <c r="I1371" s="7"/>
      <c r="J1371" s="7">
        <f>H1371+I1371</f>
        <v>80</v>
      </c>
      <c r="K1371" s="7">
        <v>-1.5</v>
      </c>
      <c r="L1371" s="7">
        <f>J1371+K1371</f>
        <v>78.5</v>
      </c>
      <c r="M1371" s="7"/>
      <c r="N1371" s="7">
        <v>78.5</v>
      </c>
      <c r="O1371" s="7">
        <v>78.5</v>
      </c>
      <c r="P1371" s="349">
        <v>78.5</v>
      </c>
      <c r="Q1371" s="257">
        <v>100</v>
      </c>
    </row>
    <row r="1372" spans="1:17" s="12" customFormat="1">
      <c r="A1372" s="8" t="s">
        <v>362</v>
      </c>
      <c r="B1372" s="10" t="s">
        <v>510</v>
      </c>
      <c r="C1372" s="10">
        <v>10</v>
      </c>
      <c r="D1372" s="10" t="s">
        <v>34</v>
      </c>
      <c r="E1372" s="34" t="s">
        <v>708</v>
      </c>
      <c r="F1372" s="10" t="s">
        <v>334</v>
      </c>
      <c r="G1372" s="11">
        <v>20</v>
      </c>
      <c r="H1372" s="31">
        <v>20</v>
      </c>
      <c r="I1372" s="7"/>
      <c r="J1372" s="7">
        <f>H1372+I1372</f>
        <v>20</v>
      </c>
      <c r="K1372" s="7">
        <v>-5.9</v>
      </c>
      <c r="L1372" s="7">
        <f>J1372+K1372</f>
        <v>14.1</v>
      </c>
      <c r="M1372" s="7"/>
      <c r="N1372" s="7">
        <v>14.1</v>
      </c>
      <c r="O1372" s="7">
        <v>14.1</v>
      </c>
      <c r="P1372" s="349">
        <v>14.1</v>
      </c>
      <c r="Q1372" s="257">
        <v>100</v>
      </c>
    </row>
    <row r="1373" spans="1:17" s="12" customFormat="1" ht="31.5">
      <c r="A1373" s="8" t="s">
        <v>707</v>
      </c>
      <c r="B1373" s="10" t="s">
        <v>510</v>
      </c>
      <c r="C1373" s="10">
        <v>10</v>
      </c>
      <c r="D1373" s="10" t="s">
        <v>34</v>
      </c>
      <c r="E1373" s="10" t="s">
        <v>709</v>
      </c>
      <c r="F1373" s="10"/>
      <c r="G1373" s="11">
        <v>100</v>
      </c>
      <c r="H1373" s="31">
        <v>100</v>
      </c>
      <c r="I1373" s="7">
        <f>I1374</f>
        <v>0</v>
      </c>
      <c r="J1373" s="7">
        <f t="shared" ref="J1373:M1373" si="526">J1374+J1375</f>
        <v>100</v>
      </c>
      <c r="K1373" s="7">
        <f t="shared" si="526"/>
        <v>120</v>
      </c>
      <c r="L1373" s="7">
        <f t="shared" si="526"/>
        <v>220</v>
      </c>
      <c r="M1373" s="7">
        <f t="shared" si="526"/>
        <v>200</v>
      </c>
      <c r="N1373" s="7">
        <v>420</v>
      </c>
      <c r="O1373" s="7">
        <v>420</v>
      </c>
      <c r="P1373" s="349">
        <v>420</v>
      </c>
      <c r="Q1373" s="257">
        <v>100</v>
      </c>
    </row>
    <row r="1374" spans="1:17" s="12" customFormat="1">
      <c r="A1374" s="8" t="s">
        <v>362</v>
      </c>
      <c r="B1374" s="10" t="s">
        <v>510</v>
      </c>
      <c r="C1374" s="10">
        <v>10</v>
      </c>
      <c r="D1374" s="10" t="s">
        <v>34</v>
      </c>
      <c r="E1374" s="10" t="s">
        <v>709</v>
      </c>
      <c r="F1374" s="10" t="s">
        <v>334</v>
      </c>
      <c r="G1374" s="11">
        <v>100</v>
      </c>
      <c r="H1374" s="31">
        <v>100</v>
      </c>
      <c r="I1374" s="7"/>
      <c r="J1374" s="7">
        <f>H1374+I1374</f>
        <v>100</v>
      </c>
      <c r="K1374" s="7"/>
      <c r="L1374" s="7">
        <f>J1374+K1374</f>
        <v>100</v>
      </c>
      <c r="M1374" s="7"/>
      <c r="N1374" s="7">
        <v>100</v>
      </c>
      <c r="O1374" s="7">
        <v>100</v>
      </c>
      <c r="P1374" s="349">
        <v>100</v>
      </c>
      <c r="Q1374" s="257">
        <v>100</v>
      </c>
    </row>
    <row r="1375" spans="1:17" s="12" customFormat="1" ht="31.5">
      <c r="A1375" s="8" t="s">
        <v>586</v>
      </c>
      <c r="B1375" s="10" t="s">
        <v>510</v>
      </c>
      <c r="C1375" s="10">
        <v>10</v>
      </c>
      <c r="D1375" s="10" t="s">
        <v>34</v>
      </c>
      <c r="E1375" s="10" t="s">
        <v>709</v>
      </c>
      <c r="F1375" s="10" t="s">
        <v>368</v>
      </c>
      <c r="G1375" s="11"/>
      <c r="H1375" s="31"/>
      <c r="I1375" s="7"/>
      <c r="J1375" s="7"/>
      <c r="K1375" s="7">
        <f>75+45</f>
        <v>120</v>
      </c>
      <c r="L1375" s="7">
        <f>J1375+K1375</f>
        <v>120</v>
      </c>
      <c r="M1375" s="7">
        <v>200</v>
      </c>
      <c r="N1375" s="7">
        <v>320</v>
      </c>
      <c r="O1375" s="7">
        <v>320</v>
      </c>
      <c r="P1375" s="349">
        <v>320</v>
      </c>
      <c r="Q1375" s="257">
        <v>100</v>
      </c>
    </row>
    <row r="1376" spans="1:17" s="12" customFormat="1" ht="63">
      <c r="A1376" s="8" t="s">
        <v>956</v>
      </c>
      <c r="B1376" s="10" t="s">
        <v>510</v>
      </c>
      <c r="C1376" s="10">
        <v>10</v>
      </c>
      <c r="D1376" s="10" t="s">
        <v>34</v>
      </c>
      <c r="E1376" s="10" t="s">
        <v>955</v>
      </c>
      <c r="F1376" s="10"/>
      <c r="G1376" s="11"/>
      <c r="H1376" s="31"/>
      <c r="I1376" s="7"/>
      <c r="J1376" s="7"/>
      <c r="K1376" s="7"/>
      <c r="L1376" s="7">
        <f>L1377+L1378</f>
        <v>0</v>
      </c>
      <c r="M1376" s="7">
        <f>M1377+M1378</f>
        <v>1267.4000000000001</v>
      </c>
      <c r="N1376" s="7">
        <v>1267.4000000000001</v>
      </c>
      <c r="O1376" s="7">
        <v>1267.4000000000001</v>
      </c>
      <c r="P1376" s="349">
        <v>1267.4000000000001</v>
      </c>
      <c r="Q1376" s="257">
        <v>100</v>
      </c>
    </row>
    <row r="1377" spans="1:17" s="12" customFormat="1" ht="31.5">
      <c r="A1377" s="8" t="s">
        <v>361</v>
      </c>
      <c r="B1377" s="10" t="s">
        <v>510</v>
      </c>
      <c r="C1377" s="10">
        <v>10</v>
      </c>
      <c r="D1377" s="10" t="s">
        <v>34</v>
      </c>
      <c r="E1377" s="10" t="s">
        <v>955</v>
      </c>
      <c r="F1377" s="10" t="s">
        <v>333</v>
      </c>
      <c r="G1377" s="11"/>
      <c r="H1377" s="31"/>
      <c r="I1377" s="7"/>
      <c r="J1377" s="7"/>
      <c r="K1377" s="7"/>
      <c r="L1377" s="7"/>
      <c r="M1377" s="7">
        <v>550</v>
      </c>
      <c r="N1377" s="7">
        <v>550</v>
      </c>
      <c r="O1377" s="7">
        <v>550</v>
      </c>
      <c r="P1377" s="349">
        <v>550</v>
      </c>
      <c r="Q1377" s="257">
        <v>100</v>
      </c>
    </row>
    <row r="1378" spans="1:17" s="12" customFormat="1">
      <c r="A1378" s="8" t="s">
        <v>362</v>
      </c>
      <c r="B1378" s="10" t="s">
        <v>510</v>
      </c>
      <c r="C1378" s="10">
        <v>10</v>
      </c>
      <c r="D1378" s="10" t="s">
        <v>34</v>
      </c>
      <c r="E1378" s="10" t="s">
        <v>955</v>
      </c>
      <c r="F1378" s="10" t="s">
        <v>334</v>
      </c>
      <c r="G1378" s="11"/>
      <c r="H1378" s="31"/>
      <c r="I1378" s="7"/>
      <c r="J1378" s="7"/>
      <c r="K1378" s="7"/>
      <c r="L1378" s="7"/>
      <c r="M1378" s="7">
        <f>81.4+636</f>
        <v>717.4</v>
      </c>
      <c r="N1378" s="7">
        <v>717.4</v>
      </c>
      <c r="O1378" s="7">
        <v>717.4</v>
      </c>
      <c r="P1378" s="349">
        <v>717.4</v>
      </c>
      <c r="Q1378" s="257">
        <v>100</v>
      </c>
    </row>
    <row r="1379" spans="1:17" s="30" customFormat="1">
      <c r="A1379" s="26" t="s">
        <v>49</v>
      </c>
      <c r="B1379" s="27" t="s">
        <v>510</v>
      </c>
      <c r="C1379" s="27"/>
      <c r="D1379" s="27"/>
      <c r="E1379" s="48"/>
      <c r="F1379" s="27"/>
      <c r="G1379" s="28">
        <v>53250.9</v>
      </c>
      <c r="H1379" s="28">
        <v>64052.9</v>
      </c>
      <c r="I1379" s="29">
        <f t="shared" ref="I1379:M1379" si="527">I1380+I1384</f>
        <v>324.7</v>
      </c>
      <c r="J1379" s="29">
        <f t="shared" si="527"/>
        <v>64377.599999999999</v>
      </c>
      <c r="K1379" s="29">
        <f t="shared" si="527"/>
        <v>7885.7</v>
      </c>
      <c r="L1379" s="29">
        <f t="shared" si="527"/>
        <v>72263.3</v>
      </c>
      <c r="M1379" s="29">
        <f t="shared" si="527"/>
        <v>0</v>
      </c>
      <c r="N1379" s="29">
        <v>72263.3</v>
      </c>
      <c r="O1379" s="29">
        <v>72263.3</v>
      </c>
      <c r="P1379" s="348">
        <v>71678.399999999994</v>
      </c>
      <c r="Q1379" s="256">
        <v>99.19</v>
      </c>
    </row>
    <row r="1380" spans="1:17" s="30" customFormat="1">
      <c r="A1380" s="26" t="s">
        <v>8</v>
      </c>
      <c r="B1380" s="27" t="s">
        <v>510</v>
      </c>
      <c r="C1380" s="27" t="s">
        <v>9</v>
      </c>
      <c r="D1380" s="27"/>
      <c r="E1380" s="48"/>
      <c r="F1380" s="27"/>
      <c r="G1380" s="28">
        <v>24342.799999999999</v>
      </c>
      <c r="H1380" s="28">
        <v>24342.799999999999</v>
      </c>
      <c r="I1380" s="29">
        <f t="shared" ref="I1380:M1382" si="528">I1381</f>
        <v>0</v>
      </c>
      <c r="J1380" s="29">
        <f t="shared" si="528"/>
        <v>24342.799999999999</v>
      </c>
      <c r="K1380" s="29">
        <f t="shared" si="528"/>
        <v>132.9</v>
      </c>
      <c r="L1380" s="29">
        <f t="shared" si="528"/>
        <v>24475.7</v>
      </c>
      <c r="M1380" s="29">
        <f t="shared" si="528"/>
        <v>0</v>
      </c>
      <c r="N1380" s="29">
        <v>24475.7</v>
      </c>
      <c r="O1380" s="29">
        <v>24475.7</v>
      </c>
      <c r="P1380" s="348">
        <v>24475.7</v>
      </c>
      <c r="Q1380" s="256">
        <v>100</v>
      </c>
    </row>
    <row r="1381" spans="1:17" s="30" customFormat="1">
      <c r="A1381" s="26" t="s">
        <v>76</v>
      </c>
      <c r="B1381" s="27" t="s">
        <v>510</v>
      </c>
      <c r="C1381" s="27" t="s">
        <v>9</v>
      </c>
      <c r="D1381" s="27" t="s">
        <v>9</v>
      </c>
      <c r="E1381" s="48"/>
      <c r="F1381" s="27"/>
      <c r="G1381" s="28">
        <v>24342.799999999999</v>
      </c>
      <c r="H1381" s="28">
        <v>24342.799999999999</v>
      </c>
      <c r="I1381" s="29">
        <f t="shared" si="528"/>
        <v>0</v>
      </c>
      <c r="J1381" s="29">
        <f t="shared" si="528"/>
        <v>24342.799999999999</v>
      </c>
      <c r="K1381" s="29">
        <f t="shared" si="528"/>
        <v>132.9</v>
      </c>
      <c r="L1381" s="29">
        <f t="shared" si="528"/>
        <v>24475.7</v>
      </c>
      <c r="M1381" s="29">
        <f t="shared" si="528"/>
        <v>0</v>
      </c>
      <c r="N1381" s="29">
        <v>24475.7</v>
      </c>
      <c r="O1381" s="29">
        <v>24475.7</v>
      </c>
      <c r="P1381" s="348">
        <v>24475.7</v>
      </c>
      <c r="Q1381" s="256">
        <v>100</v>
      </c>
    </row>
    <row r="1382" spans="1:17" s="12" customFormat="1">
      <c r="A1382" s="8" t="s">
        <v>238</v>
      </c>
      <c r="B1382" s="10" t="s">
        <v>510</v>
      </c>
      <c r="C1382" s="10" t="s">
        <v>9</v>
      </c>
      <c r="D1382" s="10" t="s">
        <v>9</v>
      </c>
      <c r="E1382" s="10" t="s">
        <v>239</v>
      </c>
      <c r="F1382" s="10"/>
      <c r="G1382" s="11">
        <v>24342.799999999999</v>
      </c>
      <c r="H1382" s="11">
        <v>24342.799999999999</v>
      </c>
      <c r="I1382" s="7">
        <f t="shared" si="528"/>
        <v>0</v>
      </c>
      <c r="J1382" s="7">
        <f t="shared" si="528"/>
        <v>24342.799999999999</v>
      </c>
      <c r="K1382" s="7">
        <f t="shared" si="528"/>
        <v>132.9</v>
      </c>
      <c r="L1382" s="7">
        <f t="shared" si="528"/>
        <v>24475.7</v>
      </c>
      <c r="M1382" s="7">
        <f t="shared" si="528"/>
        <v>0</v>
      </c>
      <c r="N1382" s="7">
        <v>24475.7</v>
      </c>
      <c r="O1382" s="7">
        <v>24475.7</v>
      </c>
      <c r="P1382" s="349">
        <v>24475.7</v>
      </c>
      <c r="Q1382" s="257">
        <v>100</v>
      </c>
    </row>
    <row r="1383" spans="1:17" s="12" customFormat="1">
      <c r="A1383" s="8" t="s">
        <v>435</v>
      </c>
      <c r="B1383" s="10" t="s">
        <v>510</v>
      </c>
      <c r="C1383" s="10" t="s">
        <v>9</v>
      </c>
      <c r="D1383" s="10" t="s">
        <v>9</v>
      </c>
      <c r="E1383" s="10" t="s">
        <v>239</v>
      </c>
      <c r="F1383" s="10" t="s">
        <v>432</v>
      </c>
      <c r="G1383" s="11">
        <v>24342.799999999999</v>
      </c>
      <c r="H1383" s="31">
        <v>24342.799999999999</v>
      </c>
      <c r="I1383" s="7"/>
      <c r="J1383" s="7">
        <f>H1383+I1383</f>
        <v>24342.799999999999</v>
      </c>
      <c r="K1383" s="7">
        <v>132.9</v>
      </c>
      <c r="L1383" s="7">
        <f>J1383+K1383</f>
        <v>24475.7</v>
      </c>
      <c r="M1383" s="7"/>
      <c r="N1383" s="7">
        <v>24475.7</v>
      </c>
      <c r="O1383" s="7">
        <v>24475.7</v>
      </c>
      <c r="P1383" s="349">
        <v>24475.7</v>
      </c>
      <c r="Q1383" s="257">
        <v>100</v>
      </c>
    </row>
    <row r="1384" spans="1:17" s="30" customFormat="1">
      <c r="A1384" s="26" t="s">
        <v>45</v>
      </c>
      <c r="B1384" s="27" t="s">
        <v>510</v>
      </c>
      <c r="C1384" s="27">
        <v>10</v>
      </c>
      <c r="D1384" s="27"/>
      <c r="E1384" s="48"/>
      <c r="F1384" s="27"/>
      <c r="G1384" s="28">
        <v>28908.1</v>
      </c>
      <c r="H1384" s="28">
        <v>39710.1</v>
      </c>
      <c r="I1384" s="29">
        <f t="shared" ref="I1384:M1385" si="529">I1385</f>
        <v>324.7</v>
      </c>
      <c r="J1384" s="29">
        <f t="shared" si="529"/>
        <v>40034.800000000003</v>
      </c>
      <c r="K1384" s="29">
        <f t="shared" si="529"/>
        <v>7752.8</v>
      </c>
      <c r="L1384" s="29">
        <f t="shared" si="529"/>
        <v>47787.6</v>
      </c>
      <c r="M1384" s="29">
        <f t="shared" si="529"/>
        <v>0</v>
      </c>
      <c r="N1384" s="29">
        <v>47787.6</v>
      </c>
      <c r="O1384" s="29">
        <v>47787.6</v>
      </c>
      <c r="P1384" s="348">
        <v>47202.7</v>
      </c>
      <c r="Q1384" s="256">
        <v>98.78</v>
      </c>
    </row>
    <row r="1385" spans="1:17" s="30" customFormat="1">
      <c r="A1385" s="26" t="s">
        <v>46</v>
      </c>
      <c r="B1385" s="27" t="s">
        <v>510</v>
      </c>
      <c r="C1385" s="27">
        <v>10</v>
      </c>
      <c r="D1385" s="27" t="s">
        <v>28</v>
      </c>
      <c r="E1385" s="27"/>
      <c r="F1385" s="27"/>
      <c r="G1385" s="28">
        <v>28908.1</v>
      </c>
      <c r="H1385" s="28">
        <v>39710.1</v>
      </c>
      <c r="I1385" s="29">
        <f t="shared" si="529"/>
        <v>324.7</v>
      </c>
      <c r="J1385" s="29">
        <f t="shared" si="529"/>
        <v>40034.800000000003</v>
      </c>
      <c r="K1385" s="29">
        <f t="shared" si="529"/>
        <v>7752.8</v>
      </c>
      <c r="L1385" s="29">
        <f t="shared" si="529"/>
        <v>47787.6</v>
      </c>
      <c r="M1385" s="29">
        <f t="shared" si="529"/>
        <v>0</v>
      </c>
      <c r="N1385" s="29">
        <v>47787.6</v>
      </c>
      <c r="O1385" s="29">
        <v>47787.6</v>
      </c>
      <c r="P1385" s="348">
        <v>47202.7</v>
      </c>
      <c r="Q1385" s="256">
        <v>98.78</v>
      </c>
    </row>
    <row r="1386" spans="1:17" s="12" customFormat="1">
      <c r="A1386" s="8" t="s">
        <v>47</v>
      </c>
      <c r="B1386" s="10" t="s">
        <v>510</v>
      </c>
      <c r="C1386" s="10">
        <v>10</v>
      </c>
      <c r="D1386" s="10" t="s">
        <v>28</v>
      </c>
      <c r="E1386" s="10" t="s">
        <v>48</v>
      </c>
      <c r="F1386" s="10"/>
      <c r="G1386" s="11">
        <v>28908.1</v>
      </c>
      <c r="H1386" s="11">
        <v>39710.1</v>
      </c>
      <c r="I1386" s="7">
        <f t="shared" ref="I1386:M1386" si="530">I1387+I1389</f>
        <v>324.7</v>
      </c>
      <c r="J1386" s="7">
        <f t="shared" si="530"/>
        <v>40034.800000000003</v>
      </c>
      <c r="K1386" s="7">
        <f t="shared" si="530"/>
        <v>7752.8</v>
      </c>
      <c r="L1386" s="7">
        <f t="shared" si="530"/>
        <v>47787.6</v>
      </c>
      <c r="M1386" s="7">
        <f t="shared" si="530"/>
        <v>0</v>
      </c>
      <c r="N1386" s="7">
        <v>47787.6</v>
      </c>
      <c r="O1386" s="7">
        <v>47787.6</v>
      </c>
      <c r="P1386" s="349">
        <v>47202.7</v>
      </c>
      <c r="Q1386" s="257">
        <v>98.78</v>
      </c>
    </row>
    <row r="1387" spans="1:17" s="12" customFormat="1" ht="94.5">
      <c r="A1387" s="8" t="s">
        <v>640</v>
      </c>
      <c r="B1387" s="10" t="s">
        <v>510</v>
      </c>
      <c r="C1387" s="10">
        <v>10</v>
      </c>
      <c r="D1387" s="10" t="s">
        <v>28</v>
      </c>
      <c r="E1387" s="10" t="s">
        <v>641</v>
      </c>
      <c r="F1387" s="10"/>
      <c r="G1387" s="11">
        <v>29250</v>
      </c>
      <c r="H1387" s="11">
        <v>29250</v>
      </c>
      <c r="I1387" s="7">
        <f t="shared" ref="I1387:M1387" si="531">I1388</f>
        <v>-24.7</v>
      </c>
      <c r="J1387" s="7">
        <f t="shared" si="531"/>
        <v>29225.3</v>
      </c>
      <c r="K1387" s="7">
        <f t="shared" si="531"/>
        <v>7752.8</v>
      </c>
      <c r="L1387" s="7">
        <f t="shared" si="531"/>
        <v>36978.1</v>
      </c>
      <c r="M1387" s="7">
        <f t="shared" si="531"/>
        <v>0</v>
      </c>
      <c r="N1387" s="7">
        <v>36978.1</v>
      </c>
      <c r="O1387" s="7">
        <v>36978.1</v>
      </c>
      <c r="P1387" s="349">
        <v>36607.9</v>
      </c>
      <c r="Q1387" s="257">
        <v>99</v>
      </c>
    </row>
    <row r="1388" spans="1:17" s="12" customFormat="1">
      <c r="A1388" s="8" t="s">
        <v>435</v>
      </c>
      <c r="B1388" s="10" t="s">
        <v>510</v>
      </c>
      <c r="C1388" s="10">
        <v>10</v>
      </c>
      <c r="D1388" s="10" t="s">
        <v>28</v>
      </c>
      <c r="E1388" s="10" t="s">
        <v>641</v>
      </c>
      <c r="F1388" s="10" t="s">
        <v>432</v>
      </c>
      <c r="G1388" s="11">
        <v>29250</v>
      </c>
      <c r="H1388" s="31">
        <v>29250</v>
      </c>
      <c r="I1388" s="7">
        <f>-48.1+23.4</f>
        <v>-24.7</v>
      </c>
      <c r="J1388" s="7">
        <f>H1388+I1388</f>
        <v>29225.3</v>
      </c>
      <c r="K1388" s="7">
        <v>7752.8</v>
      </c>
      <c r="L1388" s="7">
        <f>J1388+K1388</f>
        <v>36978.1</v>
      </c>
      <c r="M1388" s="7"/>
      <c r="N1388" s="7">
        <v>36978.1</v>
      </c>
      <c r="O1388" s="7">
        <v>36978.1</v>
      </c>
      <c r="P1388" s="349">
        <v>36607.9</v>
      </c>
      <c r="Q1388" s="257">
        <v>99</v>
      </c>
    </row>
    <row r="1389" spans="1:17" s="21" customFormat="1" ht="78.75">
      <c r="A1389" s="8" t="s">
        <v>755</v>
      </c>
      <c r="B1389" s="10" t="s">
        <v>510</v>
      </c>
      <c r="C1389" s="57" t="s">
        <v>140</v>
      </c>
      <c r="D1389" s="57" t="s">
        <v>28</v>
      </c>
      <c r="E1389" s="57" t="s">
        <v>182</v>
      </c>
      <c r="F1389" s="57"/>
      <c r="G1389" s="11">
        <v>-341.9</v>
      </c>
      <c r="H1389" s="31">
        <v>10460.1</v>
      </c>
      <c r="I1389" s="7">
        <f t="shared" ref="I1389:M1389" si="532">I1390</f>
        <v>349.4</v>
      </c>
      <c r="J1389" s="7">
        <f t="shared" si="532"/>
        <v>10809.5</v>
      </c>
      <c r="K1389" s="7">
        <f t="shared" si="532"/>
        <v>0</v>
      </c>
      <c r="L1389" s="7">
        <f t="shared" si="532"/>
        <v>10809.5</v>
      </c>
      <c r="M1389" s="7">
        <f t="shared" si="532"/>
        <v>0</v>
      </c>
      <c r="N1389" s="7">
        <v>10809.5</v>
      </c>
      <c r="O1389" s="7">
        <v>10809.5</v>
      </c>
      <c r="P1389" s="349">
        <v>10594.8</v>
      </c>
      <c r="Q1389" s="257">
        <v>98.01</v>
      </c>
    </row>
    <row r="1390" spans="1:17" s="21" customFormat="1">
      <c r="A1390" s="8" t="s">
        <v>435</v>
      </c>
      <c r="B1390" s="10" t="s">
        <v>510</v>
      </c>
      <c r="C1390" s="57" t="s">
        <v>140</v>
      </c>
      <c r="D1390" s="57" t="s">
        <v>28</v>
      </c>
      <c r="E1390" s="57" t="s">
        <v>182</v>
      </c>
      <c r="F1390" s="57" t="s">
        <v>432</v>
      </c>
      <c r="G1390" s="11">
        <v>-341.9</v>
      </c>
      <c r="H1390" s="31">
        <v>10460.1</v>
      </c>
      <c r="I1390" s="7">
        <v>349.4</v>
      </c>
      <c r="J1390" s="7">
        <f>H1390+I1390</f>
        <v>10809.5</v>
      </c>
      <c r="K1390" s="7"/>
      <c r="L1390" s="7">
        <f>J1390+K1390</f>
        <v>10809.5</v>
      </c>
      <c r="M1390" s="7"/>
      <c r="N1390" s="7">
        <v>10809.5</v>
      </c>
      <c r="O1390" s="7">
        <v>10809.5</v>
      </c>
      <c r="P1390" s="349">
        <v>10594.8</v>
      </c>
      <c r="Q1390" s="257">
        <v>98.01</v>
      </c>
    </row>
    <row r="1391" spans="1:17">
      <c r="A1391" s="408" t="s">
        <v>259</v>
      </c>
      <c r="B1391" s="409"/>
      <c r="C1391" s="409"/>
      <c r="D1391" s="409"/>
      <c r="E1391" s="409"/>
      <c r="F1391" s="409"/>
      <c r="G1391" s="28">
        <v>6503</v>
      </c>
      <c r="H1391" s="28">
        <v>26195</v>
      </c>
      <c r="I1391" s="29">
        <f t="shared" ref="I1391:M1391" si="533">I1392+I1412+I1417</f>
        <v>0</v>
      </c>
      <c r="J1391" s="29">
        <f t="shared" si="533"/>
        <v>26195</v>
      </c>
      <c r="K1391" s="29">
        <f t="shared" si="533"/>
        <v>600</v>
      </c>
      <c r="L1391" s="29">
        <f t="shared" si="533"/>
        <v>26795</v>
      </c>
      <c r="M1391" s="29">
        <f t="shared" si="533"/>
        <v>0</v>
      </c>
      <c r="N1391" s="29">
        <v>26795</v>
      </c>
      <c r="O1391" s="29">
        <v>26795</v>
      </c>
      <c r="P1391" s="348">
        <v>25763.5</v>
      </c>
      <c r="Q1391" s="256">
        <v>96.15</v>
      </c>
    </row>
    <row r="1392" spans="1:17">
      <c r="A1392" s="26" t="s">
        <v>52</v>
      </c>
      <c r="B1392" s="27" t="s">
        <v>511</v>
      </c>
      <c r="C1392" s="27" t="s">
        <v>16</v>
      </c>
      <c r="D1392" s="27"/>
      <c r="E1392" s="27"/>
      <c r="F1392" s="27"/>
      <c r="G1392" s="28">
        <v>5767.9</v>
      </c>
      <c r="H1392" s="28">
        <v>18778.900000000001</v>
      </c>
      <c r="I1392" s="29">
        <f t="shared" ref="I1392:M1392" si="534">I1393</f>
        <v>0</v>
      </c>
      <c r="J1392" s="29">
        <f t="shared" si="534"/>
        <v>18778.900000000001</v>
      </c>
      <c r="K1392" s="29">
        <f t="shared" si="534"/>
        <v>600</v>
      </c>
      <c r="L1392" s="29">
        <f t="shared" si="534"/>
        <v>19378.900000000001</v>
      </c>
      <c r="M1392" s="29">
        <f t="shared" si="534"/>
        <v>0</v>
      </c>
      <c r="N1392" s="29">
        <v>19378.900000000001</v>
      </c>
      <c r="O1392" s="29">
        <v>19378.900000000001</v>
      </c>
      <c r="P1392" s="348">
        <v>18348.599999999999</v>
      </c>
      <c r="Q1392" s="256">
        <v>94.68</v>
      </c>
    </row>
    <row r="1393" spans="1:17">
      <c r="A1393" s="26" t="s">
        <v>53</v>
      </c>
      <c r="B1393" s="27" t="s">
        <v>511</v>
      </c>
      <c r="C1393" s="27" t="s">
        <v>16</v>
      </c>
      <c r="D1393" s="27" t="s">
        <v>54</v>
      </c>
      <c r="E1393" s="27"/>
      <c r="F1393" s="27"/>
      <c r="G1393" s="28">
        <v>5767.9</v>
      </c>
      <c r="H1393" s="28">
        <v>18778.900000000001</v>
      </c>
      <c r="I1393" s="29">
        <f t="shared" ref="I1393:M1393" si="535">I1394+I1402</f>
        <v>0</v>
      </c>
      <c r="J1393" s="29">
        <f t="shared" si="535"/>
        <v>18778.900000000001</v>
      </c>
      <c r="K1393" s="29">
        <f t="shared" si="535"/>
        <v>600</v>
      </c>
      <c r="L1393" s="29">
        <f t="shared" si="535"/>
        <v>19378.900000000001</v>
      </c>
      <c r="M1393" s="29">
        <f t="shared" si="535"/>
        <v>0</v>
      </c>
      <c r="N1393" s="29">
        <v>19378.900000000001</v>
      </c>
      <c r="O1393" s="29">
        <v>19378.900000000001</v>
      </c>
      <c r="P1393" s="348">
        <v>18348.599999999999</v>
      </c>
      <c r="Q1393" s="256">
        <v>94.68</v>
      </c>
    </row>
    <row r="1394" spans="1:17" s="12" customFormat="1" ht="47.25">
      <c r="A1394" s="8" t="s">
        <v>65</v>
      </c>
      <c r="B1394" s="10" t="s">
        <v>511</v>
      </c>
      <c r="C1394" s="10" t="s">
        <v>16</v>
      </c>
      <c r="D1394" s="10" t="s">
        <v>54</v>
      </c>
      <c r="E1394" s="41" t="s">
        <v>41</v>
      </c>
      <c r="F1394" s="10"/>
      <c r="G1394" s="11">
        <v>789</v>
      </c>
      <c r="H1394" s="11">
        <v>6770</v>
      </c>
      <c r="I1394" s="7">
        <f t="shared" ref="I1394:M1394" si="536">I1395</f>
        <v>0</v>
      </c>
      <c r="J1394" s="7">
        <f t="shared" si="536"/>
        <v>6770</v>
      </c>
      <c r="K1394" s="7">
        <f t="shared" si="536"/>
        <v>100</v>
      </c>
      <c r="L1394" s="7">
        <f t="shared" si="536"/>
        <v>6870</v>
      </c>
      <c r="M1394" s="7">
        <f t="shared" si="536"/>
        <v>0</v>
      </c>
      <c r="N1394" s="7">
        <v>6870</v>
      </c>
      <c r="O1394" s="7">
        <v>6870</v>
      </c>
      <c r="P1394" s="349">
        <v>6703</v>
      </c>
      <c r="Q1394" s="257">
        <v>97.57</v>
      </c>
    </row>
    <row r="1395" spans="1:17" s="12" customFormat="1">
      <c r="A1395" s="8" t="s">
        <v>42</v>
      </c>
      <c r="B1395" s="10" t="s">
        <v>511</v>
      </c>
      <c r="C1395" s="10" t="s">
        <v>16</v>
      </c>
      <c r="D1395" s="10" t="s">
        <v>54</v>
      </c>
      <c r="E1395" s="41" t="s">
        <v>43</v>
      </c>
      <c r="F1395" s="10"/>
      <c r="G1395" s="11">
        <v>789</v>
      </c>
      <c r="H1395" s="11">
        <v>6770</v>
      </c>
      <c r="I1395" s="7">
        <f t="shared" ref="I1395:M1395" si="537">I1396+I1397+I1398+I1399+I1400+I1401</f>
        <v>0</v>
      </c>
      <c r="J1395" s="7">
        <f t="shared" si="537"/>
        <v>6770</v>
      </c>
      <c r="K1395" s="7">
        <f t="shared" si="537"/>
        <v>100</v>
      </c>
      <c r="L1395" s="7">
        <f t="shared" si="537"/>
        <v>6870</v>
      </c>
      <c r="M1395" s="7">
        <f t="shared" si="537"/>
        <v>0</v>
      </c>
      <c r="N1395" s="7">
        <v>6870</v>
      </c>
      <c r="O1395" s="7">
        <v>6870</v>
      </c>
      <c r="P1395" s="349">
        <v>6703</v>
      </c>
      <c r="Q1395" s="257">
        <v>97.57</v>
      </c>
    </row>
    <row r="1396" spans="1:17" s="12" customFormat="1">
      <c r="A1396" s="8" t="s">
        <v>337</v>
      </c>
      <c r="B1396" s="10" t="s">
        <v>511</v>
      </c>
      <c r="C1396" s="10" t="s">
        <v>16</v>
      </c>
      <c r="D1396" s="10" t="s">
        <v>54</v>
      </c>
      <c r="E1396" s="41" t="s">
        <v>43</v>
      </c>
      <c r="F1396" s="10" t="s">
        <v>331</v>
      </c>
      <c r="G1396" s="11">
        <v>795.2</v>
      </c>
      <c r="H1396" s="31">
        <v>5669.2</v>
      </c>
      <c r="I1396" s="7"/>
      <c r="J1396" s="7">
        <f t="shared" ref="J1396:J1401" si="538">H1396+I1396</f>
        <v>5669.2</v>
      </c>
      <c r="K1396" s="7">
        <f>100+265.9</f>
        <v>365.9</v>
      </c>
      <c r="L1396" s="7">
        <f t="shared" ref="L1396:L1401" si="539">J1396+K1396</f>
        <v>6035.1</v>
      </c>
      <c r="M1396" s="7"/>
      <c r="N1396" s="7">
        <v>6035.1</v>
      </c>
      <c r="O1396" s="7">
        <v>6035.1</v>
      </c>
      <c r="P1396" s="349">
        <v>5908.2</v>
      </c>
      <c r="Q1396" s="257">
        <v>97.9</v>
      </c>
    </row>
    <row r="1397" spans="1:17" s="12" customFormat="1">
      <c r="A1397" s="8" t="s">
        <v>356</v>
      </c>
      <c r="B1397" s="10" t="s">
        <v>511</v>
      </c>
      <c r="C1397" s="10" t="s">
        <v>16</v>
      </c>
      <c r="D1397" s="10" t="s">
        <v>54</v>
      </c>
      <c r="E1397" s="41" t="s">
        <v>43</v>
      </c>
      <c r="F1397" s="10" t="s">
        <v>332</v>
      </c>
      <c r="G1397" s="11">
        <v>23.3</v>
      </c>
      <c r="H1397" s="31">
        <v>40</v>
      </c>
      <c r="I1397" s="7"/>
      <c r="J1397" s="7">
        <f t="shared" si="538"/>
        <v>40</v>
      </c>
      <c r="K1397" s="7"/>
      <c r="L1397" s="7">
        <f t="shared" si="539"/>
        <v>40</v>
      </c>
      <c r="M1397" s="7"/>
      <c r="N1397" s="7">
        <v>40</v>
      </c>
      <c r="O1397" s="7">
        <v>40</v>
      </c>
      <c r="P1397" s="349">
        <v>30.4</v>
      </c>
      <c r="Q1397" s="257">
        <v>76</v>
      </c>
    </row>
    <row r="1398" spans="1:17" s="12" customFormat="1" ht="31.5">
      <c r="A1398" s="8" t="s">
        <v>361</v>
      </c>
      <c r="B1398" s="10" t="s">
        <v>511</v>
      </c>
      <c r="C1398" s="10" t="s">
        <v>16</v>
      </c>
      <c r="D1398" s="10" t="s">
        <v>54</v>
      </c>
      <c r="E1398" s="41" t="s">
        <v>43</v>
      </c>
      <c r="F1398" s="10" t="s">
        <v>333</v>
      </c>
      <c r="G1398" s="11">
        <v>310</v>
      </c>
      <c r="H1398" s="31">
        <v>310</v>
      </c>
      <c r="I1398" s="7"/>
      <c r="J1398" s="7">
        <f t="shared" si="538"/>
        <v>310</v>
      </c>
      <c r="K1398" s="7">
        <v>-55</v>
      </c>
      <c r="L1398" s="7">
        <f t="shared" si="539"/>
        <v>255</v>
      </c>
      <c r="M1398" s="7"/>
      <c r="N1398" s="7">
        <v>255</v>
      </c>
      <c r="O1398" s="7">
        <v>255</v>
      </c>
      <c r="P1398" s="349">
        <v>255</v>
      </c>
      <c r="Q1398" s="257">
        <v>100</v>
      </c>
    </row>
    <row r="1399" spans="1:17" s="12" customFormat="1">
      <c r="A1399" s="8" t="s">
        <v>362</v>
      </c>
      <c r="B1399" s="10" t="s">
        <v>511</v>
      </c>
      <c r="C1399" s="10" t="s">
        <v>16</v>
      </c>
      <c r="D1399" s="10" t="s">
        <v>54</v>
      </c>
      <c r="E1399" s="41" t="s">
        <v>43</v>
      </c>
      <c r="F1399" s="10" t="s">
        <v>334</v>
      </c>
      <c r="G1399" s="11">
        <v>-309.5</v>
      </c>
      <c r="H1399" s="31">
        <v>700.8</v>
      </c>
      <c r="I1399" s="7"/>
      <c r="J1399" s="7">
        <f t="shared" si="538"/>
        <v>700.8</v>
      </c>
      <c r="K1399" s="7">
        <v>-210.9</v>
      </c>
      <c r="L1399" s="7">
        <f t="shared" si="539"/>
        <v>489.9</v>
      </c>
      <c r="M1399" s="7"/>
      <c r="N1399" s="7">
        <v>489.9</v>
      </c>
      <c r="O1399" s="7">
        <v>489.9</v>
      </c>
      <c r="P1399" s="349">
        <v>489.5</v>
      </c>
      <c r="Q1399" s="257">
        <v>99.92</v>
      </c>
    </row>
    <row r="1400" spans="1:17" s="12" customFormat="1">
      <c r="A1400" s="8" t="s">
        <v>384</v>
      </c>
      <c r="B1400" s="10" t="s">
        <v>511</v>
      </c>
      <c r="C1400" s="10" t="s">
        <v>16</v>
      </c>
      <c r="D1400" s="10" t="s">
        <v>54</v>
      </c>
      <c r="E1400" s="41" t="s">
        <v>43</v>
      </c>
      <c r="F1400" s="10" t="s">
        <v>335</v>
      </c>
      <c r="G1400" s="11">
        <v>-15</v>
      </c>
      <c r="H1400" s="31">
        <v>30</v>
      </c>
      <c r="I1400" s="7"/>
      <c r="J1400" s="7">
        <f t="shared" si="538"/>
        <v>30</v>
      </c>
      <c r="K1400" s="7"/>
      <c r="L1400" s="7">
        <f t="shared" si="539"/>
        <v>30</v>
      </c>
      <c r="M1400" s="7"/>
      <c r="N1400" s="7">
        <v>30</v>
      </c>
      <c r="O1400" s="7">
        <v>30</v>
      </c>
      <c r="P1400" s="349">
        <v>17.8</v>
      </c>
      <c r="Q1400" s="257">
        <v>59.33</v>
      </c>
    </row>
    <row r="1401" spans="1:17" s="12" customFormat="1">
      <c r="A1401" s="8" t="s">
        <v>380</v>
      </c>
      <c r="B1401" s="10" t="s">
        <v>511</v>
      </c>
      <c r="C1401" s="10" t="s">
        <v>16</v>
      </c>
      <c r="D1401" s="10" t="s">
        <v>54</v>
      </c>
      <c r="E1401" s="41" t="s">
        <v>43</v>
      </c>
      <c r="F1401" s="10" t="s">
        <v>336</v>
      </c>
      <c r="G1401" s="11">
        <v>-15</v>
      </c>
      <c r="H1401" s="31">
        <v>20</v>
      </c>
      <c r="I1401" s="7"/>
      <c r="J1401" s="7">
        <f t="shared" si="538"/>
        <v>20</v>
      </c>
      <c r="K1401" s="7"/>
      <c r="L1401" s="7">
        <f t="shared" si="539"/>
        <v>20</v>
      </c>
      <c r="M1401" s="7"/>
      <c r="N1401" s="7">
        <v>20</v>
      </c>
      <c r="O1401" s="7">
        <v>20</v>
      </c>
      <c r="P1401" s="349">
        <v>2.1</v>
      </c>
      <c r="Q1401" s="257">
        <v>10.5</v>
      </c>
    </row>
    <row r="1402" spans="1:17" s="12" customFormat="1">
      <c r="A1402" s="8" t="s">
        <v>363</v>
      </c>
      <c r="B1402" s="10" t="s">
        <v>511</v>
      </c>
      <c r="C1402" s="10" t="s">
        <v>16</v>
      </c>
      <c r="D1402" s="10" t="s">
        <v>54</v>
      </c>
      <c r="E1402" s="57" t="s">
        <v>364</v>
      </c>
      <c r="F1402" s="10"/>
      <c r="G1402" s="11">
        <v>4978.8999999999996</v>
      </c>
      <c r="H1402" s="11">
        <v>12008.9</v>
      </c>
      <c r="I1402" s="7">
        <f t="shared" ref="I1402:M1402" si="540">I1403</f>
        <v>0</v>
      </c>
      <c r="J1402" s="7">
        <f t="shared" si="540"/>
        <v>12008.9</v>
      </c>
      <c r="K1402" s="7">
        <f t="shared" si="540"/>
        <v>500</v>
      </c>
      <c r="L1402" s="7">
        <f t="shared" si="540"/>
        <v>12508.9</v>
      </c>
      <c r="M1402" s="7">
        <f t="shared" si="540"/>
        <v>0</v>
      </c>
      <c r="N1402" s="7">
        <v>12508.9</v>
      </c>
      <c r="O1402" s="7">
        <v>12508.9</v>
      </c>
      <c r="P1402" s="349">
        <v>11645.6</v>
      </c>
      <c r="Q1402" s="257">
        <v>93.1</v>
      </c>
    </row>
    <row r="1403" spans="1:17" s="12" customFormat="1" ht="31.5">
      <c r="A1403" s="8" t="s">
        <v>549</v>
      </c>
      <c r="B1403" s="10" t="s">
        <v>511</v>
      </c>
      <c r="C1403" s="10" t="s">
        <v>16</v>
      </c>
      <c r="D1403" s="10" t="s">
        <v>54</v>
      </c>
      <c r="E1403" s="57" t="s">
        <v>370</v>
      </c>
      <c r="F1403" s="49"/>
      <c r="G1403" s="11">
        <v>4978.8999999999996</v>
      </c>
      <c r="H1403" s="11">
        <v>12008.9</v>
      </c>
      <c r="I1403" s="7">
        <f t="shared" ref="I1403:M1403" si="541">I1404+I1405+I1406+I1408+I1409+I1410+I1411+I1407</f>
        <v>0</v>
      </c>
      <c r="J1403" s="7">
        <f t="shared" si="541"/>
        <v>12008.9</v>
      </c>
      <c r="K1403" s="7">
        <f t="shared" si="541"/>
        <v>500</v>
      </c>
      <c r="L1403" s="7">
        <f t="shared" si="541"/>
        <v>12508.9</v>
      </c>
      <c r="M1403" s="7">
        <f t="shared" si="541"/>
        <v>0</v>
      </c>
      <c r="N1403" s="7">
        <v>12508.9</v>
      </c>
      <c r="O1403" s="7">
        <v>12508.9</v>
      </c>
      <c r="P1403" s="349">
        <v>11645.6</v>
      </c>
      <c r="Q1403" s="257">
        <v>93.1</v>
      </c>
    </row>
    <row r="1404" spans="1:17" s="12" customFormat="1">
      <c r="A1404" s="8" t="s">
        <v>337</v>
      </c>
      <c r="B1404" s="10" t="s">
        <v>511</v>
      </c>
      <c r="C1404" s="10" t="s">
        <v>16</v>
      </c>
      <c r="D1404" s="10" t="s">
        <v>54</v>
      </c>
      <c r="E1404" s="57" t="s">
        <v>370</v>
      </c>
      <c r="F1404" s="10" t="s">
        <v>347</v>
      </c>
      <c r="G1404" s="11">
        <v>50.4</v>
      </c>
      <c r="H1404" s="31">
        <v>3716.4</v>
      </c>
      <c r="I1404" s="7"/>
      <c r="J1404" s="7">
        <f t="shared" ref="J1404:J1411" si="542">H1404+I1404</f>
        <v>3716.4</v>
      </c>
      <c r="K1404" s="7"/>
      <c r="L1404" s="7">
        <f t="shared" ref="L1404:L1411" si="543">J1404+K1404</f>
        <v>3716.4</v>
      </c>
      <c r="M1404" s="7"/>
      <c r="N1404" s="7">
        <v>3716.4</v>
      </c>
      <c r="O1404" s="7">
        <v>3716.4</v>
      </c>
      <c r="P1404" s="349">
        <v>3697.1</v>
      </c>
      <c r="Q1404" s="257">
        <v>99.48</v>
      </c>
    </row>
    <row r="1405" spans="1:17" s="12" customFormat="1">
      <c r="A1405" s="8" t="s">
        <v>356</v>
      </c>
      <c r="B1405" s="10" t="s">
        <v>511</v>
      </c>
      <c r="C1405" s="10" t="s">
        <v>16</v>
      </c>
      <c r="D1405" s="10" t="s">
        <v>54</v>
      </c>
      <c r="E1405" s="57" t="s">
        <v>370</v>
      </c>
      <c r="F1405" s="10" t="s">
        <v>348</v>
      </c>
      <c r="G1405" s="11">
        <v>-26.5</v>
      </c>
      <c r="H1405" s="31">
        <v>46</v>
      </c>
      <c r="I1405" s="7"/>
      <c r="J1405" s="7">
        <f t="shared" si="542"/>
        <v>46</v>
      </c>
      <c r="K1405" s="7">
        <v>-34.1</v>
      </c>
      <c r="L1405" s="7">
        <f t="shared" si="543"/>
        <v>11.9</v>
      </c>
      <c r="M1405" s="7"/>
      <c r="N1405" s="7">
        <v>11.9</v>
      </c>
      <c r="O1405" s="7">
        <v>11.9</v>
      </c>
      <c r="P1405" s="349">
        <v>11.9</v>
      </c>
      <c r="Q1405" s="257">
        <v>100</v>
      </c>
    </row>
    <row r="1406" spans="1:17" s="12" customFormat="1" ht="31.5">
      <c r="A1406" s="8" t="s">
        <v>361</v>
      </c>
      <c r="B1406" s="10" t="s">
        <v>511</v>
      </c>
      <c r="C1406" s="10" t="s">
        <v>16</v>
      </c>
      <c r="D1406" s="10" t="s">
        <v>54</v>
      </c>
      <c r="E1406" s="57" t="s">
        <v>370</v>
      </c>
      <c r="F1406" s="10" t="s">
        <v>333</v>
      </c>
      <c r="G1406" s="11">
        <v>337.1</v>
      </c>
      <c r="H1406" s="31">
        <v>475</v>
      </c>
      <c r="I1406" s="7"/>
      <c r="J1406" s="7">
        <f t="shared" si="542"/>
        <v>475</v>
      </c>
      <c r="K1406" s="7">
        <f>898.1+500</f>
        <v>1398.1</v>
      </c>
      <c r="L1406" s="7">
        <f t="shared" si="543"/>
        <v>1873.1</v>
      </c>
      <c r="M1406" s="7"/>
      <c r="N1406" s="7">
        <v>1873.1</v>
      </c>
      <c r="O1406" s="7">
        <v>1873.1</v>
      </c>
      <c r="P1406" s="349">
        <v>1097</v>
      </c>
      <c r="Q1406" s="257">
        <v>58.57</v>
      </c>
    </row>
    <row r="1407" spans="1:17" s="12" customFormat="1" ht="31.5">
      <c r="A1407" s="8" t="s">
        <v>421</v>
      </c>
      <c r="B1407" s="10" t="s">
        <v>511</v>
      </c>
      <c r="C1407" s="10" t="s">
        <v>16</v>
      </c>
      <c r="D1407" s="10" t="s">
        <v>54</v>
      </c>
      <c r="E1407" s="57" t="s">
        <v>370</v>
      </c>
      <c r="F1407" s="10" t="s">
        <v>420</v>
      </c>
      <c r="G1407" s="11"/>
      <c r="H1407" s="31"/>
      <c r="I1407" s="7">
        <v>1000</v>
      </c>
      <c r="J1407" s="7">
        <f t="shared" si="542"/>
        <v>1000</v>
      </c>
      <c r="K1407" s="7"/>
      <c r="L1407" s="7">
        <f t="shared" si="543"/>
        <v>1000</v>
      </c>
      <c r="M1407" s="7"/>
      <c r="N1407" s="7">
        <v>1000</v>
      </c>
      <c r="O1407" s="7">
        <v>1000</v>
      </c>
      <c r="P1407" s="349">
        <v>1000</v>
      </c>
      <c r="Q1407" s="257">
        <v>100</v>
      </c>
    </row>
    <row r="1408" spans="1:17" s="12" customFormat="1">
      <c r="A1408" s="8" t="s">
        <v>362</v>
      </c>
      <c r="B1408" s="10" t="s">
        <v>511</v>
      </c>
      <c r="C1408" s="10" t="s">
        <v>16</v>
      </c>
      <c r="D1408" s="10" t="s">
        <v>54</v>
      </c>
      <c r="E1408" s="57" t="s">
        <v>370</v>
      </c>
      <c r="F1408" s="10" t="s">
        <v>334</v>
      </c>
      <c r="G1408" s="11">
        <v>390.8</v>
      </c>
      <c r="H1408" s="31">
        <v>2861.5</v>
      </c>
      <c r="I1408" s="7"/>
      <c r="J1408" s="7">
        <f t="shared" si="542"/>
        <v>2861.5</v>
      </c>
      <c r="K1408" s="7">
        <v>-864</v>
      </c>
      <c r="L1408" s="7">
        <f t="shared" si="543"/>
        <v>1997.5</v>
      </c>
      <c r="M1408" s="7"/>
      <c r="N1408" s="7">
        <v>1997.5</v>
      </c>
      <c r="O1408" s="7">
        <v>1997.5</v>
      </c>
      <c r="P1408" s="349">
        <v>1996.6</v>
      </c>
      <c r="Q1408" s="257">
        <v>99.95</v>
      </c>
    </row>
    <row r="1409" spans="1:17" s="12" customFormat="1" ht="31.5">
      <c r="A1409" s="8" t="s">
        <v>545</v>
      </c>
      <c r="B1409" s="10" t="s">
        <v>511</v>
      </c>
      <c r="C1409" s="10" t="s">
        <v>16</v>
      </c>
      <c r="D1409" s="10" t="s">
        <v>54</v>
      </c>
      <c r="E1409" s="57" t="s">
        <v>370</v>
      </c>
      <c r="F1409" s="10" t="s">
        <v>544</v>
      </c>
      <c r="G1409" s="11">
        <v>4000</v>
      </c>
      <c r="H1409" s="31">
        <v>4000</v>
      </c>
      <c r="I1409" s="7">
        <v>-1000</v>
      </c>
      <c r="J1409" s="7">
        <f t="shared" si="542"/>
        <v>3000</v>
      </c>
      <c r="K1409" s="7"/>
      <c r="L1409" s="7">
        <f t="shared" si="543"/>
        <v>3000</v>
      </c>
      <c r="M1409" s="7"/>
      <c r="N1409" s="7">
        <v>3000</v>
      </c>
      <c r="O1409" s="7">
        <v>3000</v>
      </c>
      <c r="P1409" s="349">
        <v>3000</v>
      </c>
      <c r="Q1409" s="257">
        <v>100</v>
      </c>
    </row>
    <row r="1410" spans="1:17" s="12" customFormat="1">
      <c r="A1410" s="8" t="s">
        <v>384</v>
      </c>
      <c r="B1410" s="10" t="s">
        <v>511</v>
      </c>
      <c r="C1410" s="10" t="s">
        <v>16</v>
      </c>
      <c r="D1410" s="10" t="s">
        <v>54</v>
      </c>
      <c r="E1410" s="57" t="s">
        <v>370</v>
      </c>
      <c r="F1410" s="10" t="s">
        <v>335</v>
      </c>
      <c r="G1410" s="11">
        <v>257.10000000000002</v>
      </c>
      <c r="H1410" s="31">
        <v>890</v>
      </c>
      <c r="I1410" s="7"/>
      <c r="J1410" s="7">
        <f t="shared" si="542"/>
        <v>890</v>
      </c>
      <c r="K1410" s="7"/>
      <c r="L1410" s="7">
        <f t="shared" si="543"/>
        <v>890</v>
      </c>
      <c r="M1410" s="7"/>
      <c r="N1410" s="7">
        <v>890</v>
      </c>
      <c r="O1410" s="7">
        <v>890</v>
      </c>
      <c r="P1410" s="349">
        <v>841.5</v>
      </c>
      <c r="Q1410" s="257">
        <v>94.55</v>
      </c>
    </row>
    <row r="1411" spans="1:17" s="12" customFormat="1">
      <c r="A1411" s="8" t="s">
        <v>380</v>
      </c>
      <c r="B1411" s="10" t="s">
        <v>511</v>
      </c>
      <c r="C1411" s="10" t="s">
        <v>16</v>
      </c>
      <c r="D1411" s="10" t="s">
        <v>54</v>
      </c>
      <c r="E1411" s="57" t="s">
        <v>370</v>
      </c>
      <c r="F1411" s="10" t="s">
        <v>336</v>
      </c>
      <c r="G1411" s="11">
        <v>-30</v>
      </c>
      <c r="H1411" s="31">
        <v>20</v>
      </c>
      <c r="I1411" s="7"/>
      <c r="J1411" s="7">
        <f t="shared" si="542"/>
        <v>20</v>
      </c>
      <c r="K1411" s="7"/>
      <c r="L1411" s="7">
        <f t="shared" si="543"/>
        <v>20</v>
      </c>
      <c r="M1411" s="7"/>
      <c r="N1411" s="7">
        <v>20</v>
      </c>
      <c r="O1411" s="7">
        <v>20</v>
      </c>
      <c r="P1411" s="349">
        <v>1.5</v>
      </c>
      <c r="Q1411" s="257">
        <v>7.5</v>
      </c>
    </row>
    <row r="1412" spans="1:17" s="30" customFormat="1">
      <c r="A1412" s="26" t="s">
        <v>8</v>
      </c>
      <c r="B1412" s="27" t="s">
        <v>511</v>
      </c>
      <c r="C1412" s="27" t="s">
        <v>9</v>
      </c>
      <c r="D1412" s="27"/>
      <c r="E1412" s="27"/>
      <c r="F1412" s="27"/>
      <c r="G1412" s="28">
        <v>20</v>
      </c>
      <c r="H1412" s="28">
        <v>20</v>
      </c>
      <c r="I1412" s="29">
        <f t="shared" ref="I1412:M1415" si="544">I1413</f>
        <v>0</v>
      </c>
      <c r="J1412" s="29">
        <f t="shared" si="544"/>
        <v>20</v>
      </c>
      <c r="K1412" s="29">
        <f t="shared" si="544"/>
        <v>0</v>
      </c>
      <c r="L1412" s="29">
        <f t="shared" si="544"/>
        <v>20</v>
      </c>
      <c r="M1412" s="29">
        <f t="shared" si="544"/>
        <v>0</v>
      </c>
      <c r="N1412" s="29">
        <v>20</v>
      </c>
      <c r="O1412" s="29">
        <v>20</v>
      </c>
      <c r="P1412" s="348">
        <v>18.8</v>
      </c>
      <c r="Q1412" s="256">
        <v>94</v>
      </c>
    </row>
    <row r="1413" spans="1:17" s="30" customFormat="1" ht="31.5">
      <c r="A1413" s="26" t="s">
        <v>75</v>
      </c>
      <c r="B1413" s="27" t="s">
        <v>511</v>
      </c>
      <c r="C1413" s="27" t="s">
        <v>9</v>
      </c>
      <c r="D1413" s="27" t="s">
        <v>31</v>
      </c>
      <c r="E1413" s="27"/>
      <c r="F1413" s="27"/>
      <c r="G1413" s="28">
        <v>20</v>
      </c>
      <c r="H1413" s="28">
        <v>20</v>
      </c>
      <c r="I1413" s="29">
        <f t="shared" si="544"/>
        <v>0</v>
      </c>
      <c r="J1413" s="29">
        <f t="shared" si="544"/>
        <v>20</v>
      </c>
      <c r="K1413" s="29">
        <f t="shared" si="544"/>
        <v>0</v>
      </c>
      <c r="L1413" s="29">
        <f t="shared" si="544"/>
        <v>20</v>
      </c>
      <c r="M1413" s="29">
        <f t="shared" si="544"/>
        <v>0</v>
      </c>
      <c r="N1413" s="29">
        <v>20</v>
      </c>
      <c r="O1413" s="29">
        <v>20</v>
      </c>
      <c r="P1413" s="348">
        <v>18.8</v>
      </c>
      <c r="Q1413" s="256">
        <v>94</v>
      </c>
    </row>
    <row r="1414" spans="1:17" s="12" customFormat="1">
      <c r="A1414" s="8" t="s">
        <v>343</v>
      </c>
      <c r="B1414" s="10" t="s">
        <v>511</v>
      </c>
      <c r="C1414" s="10" t="s">
        <v>9</v>
      </c>
      <c r="D1414" s="10" t="s">
        <v>31</v>
      </c>
      <c r="E1414" s="10" t="s">
        <v>342</v>
      </c>
      <c r="F1414" s="10"/>
      <c r="G1414" s="11">
        <v>20</v>
      </c>
      <c r="H1414" s="11">
        <v>20</v>
      </c>
      <c r="I1414" s="7">
        <f t="shared" si="544"/>
        <v>0</v>
      </c>
      <c r="J1414" s="7">
        <f t="shared" si="544"/>
        <v>20</v>
      </c>
      <c r="K1414" s="7">
        <f t="shared" si="544"/>
        <v>0</v>
      </c>
      <c r="L1414" s="7">
        <f t="shared" si="544"/>
        <v>20</v>
      </c>
      <c r="M1414" s="7">
        <f t="shared" si="544"/>
        <v>0</v>
      </c>
      <c r="N1414" s="7">
        <v>20</v>
      </c>
      <c r="O1414" s="7">
        <v>20</v>
      </c>
      <c r="P1414" s="349">
        <v>18.8</v>
      </c>
      <c r="Q1414" s="257">
        <v>94</v>
      </c>
    </row>
    <row r="1415" spans="1:17" s="12" customFormat="1" ht="31.5">
      <c r="A1415" s="8" t="s">
        <v>471</v>
      </c>
      <c r="B1415" s="10" t="s">
        <v>511</v>
      </c>
      <c r="C1415" s="10" t="s">
        <v>9</v>
      </c>
      <c r="D1415" s="10" t="s">
        <v>31</v>
      </c>
      <c r="E1415" s="10" t="s">
        <v>344</v>
      </c>
      <c r="F1415" s="10"/>
      <c r="G1415" s="11">
        <v>20</v>
      </c>
      <c r="H1415" s="11">
        <v>20</v>
      </c>
      <c r="I1415" s="7">
        <f t="shared" si="544"/>
        <v>0</v>
      </c>
      <c r="J1415" s="7">
        <f t="shared" si="544"/>
        <v>20</v>
      </c>
      <c r="K1415" s="7">
        <f t="shared" si="544"/>
        <v>0</v>
      </c>
      <c r="L1415" s="7">
        <f t="shared" si="544"/>
        <v>20</v>
      </c>
      <c r="M1415" s="7">
        <f t="shared" si="544"/>
        <v>0</v>
      </c>
      <c r="N1415" s="7">
        <v>20</v>
      </c>
      <c r="O1415" s="7">
        <v>20</v>
      </c>
      <c r="P1415" s="349">
        <v>18.8</v>
      </c>
      <c r="Q1415" s="257">
        <v>94</v>
      </c>
    </row>
    <row r="1416" spans="1:17" s="12" customFormat="1">
      <c r="A1416" s="8" t="s">
        <v>362</v>
      </c>
      <c r="B1416" s="10" t="s">
        <v>511</v>
      </c>
      <c r="C1416" s="10" t="s">
        <v>9</v>
      </c>
      <c r="D1416" s="10" t="s">
        <v>31</v>
      </c>
      <c r="E1416" s="10" t="s">
        <v>344</v>
      </c>
      <c r="F1416" s="10" t="s">
        <v>334</v>
      </c>
      <c r="G1416" s="11">
        <v>20</v>
      </c>
      <c r="H1416" s="31">
        <v>20</v>
      </c>
      <c r="I1416" s="7"/>
      <c r="J1416" s="7">
        <f>H1416+I1416</f>
        <v>20</v>
      </c>
      <c r="K1416" s="7"/>
      <c r="L1416" s="7">
        <f>J1416+K1416</f>
        <v>20</v>
      </c>
      <c r="M1416" s="7"/>
      <c r="N1416" s="7">
        <v>20</v>
      </c>
      <c r="O1416" s="7">
        <v>20</v>
      </c>
      <c r="P1416" s="349">
        <v>18.8</v>
      </c>
      <c r="Q1416" s="257">
        <v>94</v>
      </c>
    </row>
    <row r="1417" spans="1:17" s="30" customFormat="1">
      <c r="A1417" s="26" t="s">
        <v>49</v>
      </c>
      <c r="B1417" s="27" t="s">
        <v>511</v>
      </c>
      <c r="C1417" s="27"/>
      <c r="D1417" s="27"/>
      <c r="E1417" s="73"/>
      <c r="F1417" s="27"/>
      <c r="G1417" s="28">
        <v>715.1</v>
      </c>
      <c r="H1417" s="28">
        <v>7396.1</v>
      </c>
      <c r="I1417" s="29">
        <f t="shared" ref="I1417:M1421" si="545">I1418</f>
        <v>0</v>
      </c>
      <c r="J1417" s="29">
        <f t="shared" si="545"/>
        <v>7396.1</v>
      </c>
      <c r="K1417" s="29">
        <f t="shared" si="545"/>
        <v>0</v>
      </c>
      <c r="L1417" s="29">
        <f t="shared" si="545"/>
        <v>7396.1</v>
      </c>
      <c r="M1417" s="29">
        <f t="shared" si="545"/>
        <v>0</v>
      </c>
      <c r="N1417" s="29">
        <v>7396.1</v>
      </c>
      <c r="O1417" s="29">
        <v>7396.1</v>
      </c>
      <c r="P1417" s="348">
        <v>7396.1</v>
      </c>
      <c r="Q1417" s="256">
        <v>100</v>
      </c>
    </row>
    <row r="1418" spans="1:17" s="30" customFormat="1">
      <c r="A1418" s="26" t="s">
        <v>52</v>
      </c>
      <c r="B1418" s="27" t="s">
        <v>511</v>
      </c>
      <c r="C1418" s="27" t="s">
        <v>16</v>
      </c>
      <c r="D1418" s="27"/>
      <c r="E1418" s="27"/>
      <c r="F1418" s="27"/>
      <c r="G1418" s="28">
        <v>715.1</v>
      </c>
      <c r="H1418" s="28">
        <v>7396.1</v>
      </c>
      <c r="I1418" s="29">
        <f t="shared" si="545"/>
        <v>0</v>
      </c>
      <c r="J1418" s="29">
        <f t="shared" si="545"/>
        <v>7396.1</v>
      </c>
      <c r="K1418" s="29">
        <f t="shared" si="545"/>
        <v>0</v>
      </c>
      <c r="L1418" s="29">
        <f t="shared" si="545"/>
        <v>7396.1</v>
      </c>
      <c r="M1418" s="29">
        <f t="shared" si="545"/>
        <v>0</v>
      </c>
      <c r="N1418" s="29">
        <v>7396.1</v>
      </c>
      <c r="O1418" s="29">
        <v>7396.1</v>
      </c>
      <c r="P1418" s="348">
        <v>7396.1</v>
      </c>
      <c r="Q1418" s="256">
        <v>100</v>
      </c>
    </row>
    <row r="1419" spans="1:17" s="30" customFormat="1">
      <c r="A1419" s="26" t="s">
        <v>53</v>
      </c>
      <c r="B1419" s="27" t="s">
        <v>511</v>
      </c>
      <c r="C1419" s="27" t="s">
        <v>16</v>
      </c>
      <c r="D1419" s="27" t="s">
        <v>54</v>
      </c>
      <c r="E1419" s="27"/>
      <c r="F1419" s="27"/>
      <c r="G1419" s="28">
        <v>715.1</v>
      </c>
      <c r="H1419" s="28">
        <v>7396.1</v>
      </c>
      <c r="I1419" s="29">
        <f t="shared" si="545"/>
        <v>0</v>
      </c>
      <c r="J1419" s="29">
        <f t="shared" si="545"/>
        <v>7396.1</v>
      </c>
      <c r="K1419" s="29">
        <f t="shared" si="545"/>
        <v>0</v>
      </c>
      <c r="L1419" s="29">
        <f t="shared" si="545"/>
        <v>7396.1</v>
      </c>
      <c r="M1419" s="29">
        <f t="shared" si="545"/>
        <v>0</v>
      </c>
      <c r="N1419" s="29">
        <v>7396.1</v>
      </c>
      <c r="O1419" s="29">
        <v>7396.1</v>
      </c>
      <c r="P1419" s="348">
        <v>7396.1</v>
      </c>
      <c r="Q1419" s="256">
        <v>100</v>
      </c>
    </row>
    <row r="1420" spans="1:17" s="12" customFormat="1">
      <c r="A1420" s="8" t="s">
        <v>37</v>
      </c>
      <c r="B1420" s="10" t="s">
        <v>511</v>
      </c>
      <c r="C1420" s="10" t="s">
        <v>16</v>
      </c>
      <c r="D1420" s="10" t="s">
        <v>54</v>
      </c>
      <c r="E1420" s="10" t="s">
        <v>38</v>
      </c>
      <c r="F1420" s="10"/>
      <c r="G1420" s="11">
        <v>715.1</v>
      </c>
      <c r="H1420" s="11">
        <v>7396.1</v>
      </c>
      <c r="I1420" s="7">
        <f t="shared" si="545"/>
        <v>0</v>
      </c>
      <c r="J1420" s="7">
        <f t="shared" si="545"/>
        <v>7396.1</v>
      </c>
      <c r="K1420" s="7">
        <f t="shared" si="545"/>
        <v>0</v>
      </c>
      <c r="L1420" s="7">
        <f t="shared" si="545"/>
        <v>7396.1</v>
      </c>
      <c r="M1420" s="7">
        <f t="shared" si="545"/>
        <v>0</v>
      </c>
      <c r="N1420" s="7">
        <v>7396.1</v>
      </c>
      <c r="O1420" s="7">
        <v>7396.1</v>
      </c>
      <c r="P1420" s="349">
        <v>7396.1</v>
      </c>
      <c r="Q1420" s="257">
        <v>100</v>
      </c>
    </row>
    <row r="1421" spans="1:17" s="12" customFormat="1" ht="31.5">
      <c r="A1421" s="8" t="s">
        <v>166</v>
      </c>
      <c r="B1421" s="10" t="s">
        <v>511</v>
      </c>
      <c r="C1421" s="10" t="s">
        <v>16</v>
      </c>
      <c r="D1421" s="10" t="s">
        <v>54</v>
      </c>
      <c r="E1421" s="10" t="s">
        <v>167</v>
      </c>
      <c r="F1421" s="10"/>
      <c r="G1421" s="11">
        <v>715.1</v>
      </c>
      <c r="H1421" s="11">
        <v>7396.1</v>
      </c>
      <c r="I1421" s="7">
        <f t="shared" si="545"/>
        <v>0</v>
      </c>
      <c r="J1421" s="7">
        <f t="shared" si="545"/>
        <v>7396.1</v>
      </c>
      <c r="K1421" s="7">
        <f t="shared" si="545"/>
        <v>0</v>
      </c>
      <c r="L1421" s="7">
        <f t="shared" si="545"/>
        <v>7396.1</v>
      </c>
      <c r="M1421" s="7">
        <f t="shared" si="545"/>
        <v>0</v>
      </c>
      <c r="N1421" s="7">
        <v>7396.1</v>
      </c>
      <c r="O1421" s="7">
        <v>7396.1</v>
      </c>
      <c r="P1421" s="349">
        <v>7396.1</v>
      </c>
      <c r="Q1421" s="257">
        <v>100</v>
      </c>
    </row>
    <row r="1422" spans="1:17" s="12" customFormat="1">
      <c r="A1422" s="8" t="s">
        <v>435</v>
      </c>
      <c r="B1422" s="10" t="s">
        <v>511</v>
      </c>
      <c r="C1422" s="10" t="s">
        <v>16</v>
      </c>
      <c r="D1422" s="10" t="s">
        <v>54</v>
      </c>
      <c r="E1422" s="10" t="s">
        <v>167</v>
      </c>
      <c r="F1422" s="10" t="s">
        <v>432</v>
      </c>
      <c r="G1422" s="11">
        <v>715.1</v>
      </c>
      <c r="H1422" s="31">
        <v>7396.1</v>
      </c>
      <c r="I1422" s="7"/>
      <c r="J1422" s="7">
        <f>H1422+I1422</f>
        <v>7396.1</v>
      </c>
      <c r="K1422" s="7"/>
      <c r="L1422" s="7">
        <f>J1422+K1422</f>
        <v>7396.1</v>
      </c>
      <c r="M1422" s="7"/>
      <c r="N1422" s="7">
        <v>7396.1</v>
      </c>
      <c r="O1422" s="7">
        <v>7396.1</v>
      </c>
      <c r="P1422" s="349">
        <v>7396.1</v>
      </c>
      <c r="Q1422" s="257">
        <v>100</v>
      </c>
    </row>
    <row r="1423" spans="1:17" s="30" customFormat="1">
      <c r="A1423" s="408" t="s">
        <v>260</v>
      </c>
      <c r="B1423" s="409"/>
      <c r="C1423" s="409"/>
      <c r="D1423" s="409"/>
      <c r="E1423" s="409"/>
      <c r="F1423" s="409"/>
      <c r="G1423" s="28">
        <v>9561.7000000000007</v>
      </c>
      <c r="H1423" s="28">
        <v>23544.5</v>
      </c>
      <c r="I1423" s="29" t="e">
        <f t="shared" ref="I1423:M1423" si="546">I1424+I1437+I1451</f>
        <v>#REF!</v>
      </c>
      <c r="J1423" s="29">
        <f t="shared" si="546"/>
        <v>38394.5</v>
      </c>
      <c r="K1423" s="29" t="e">
        <f t="shared" si="546"/>
        <v>#REF!</v>
      </c>
      <c r="L1423" s="29" t="e">
        <f t="shared" si="546"/>
        <v>#REF!</v>
      </c>
      <c r="M1423" s="29" t="e">
        <f t="shared" si="546"/>
        <v>#REF!</v>
      </c>
      <c r="N1423" s="29">
        <v>38394.5</v>
      </c>
      <c r="O1423" s="29">
        <v>38394.5</v>
      </c>
      <c r="P1423" s="348">
        <v>37630.5</v>
      </c>
      <c r="Q1423" s="256">
        <v>98.01</v>
      </c>
    </row>
    <row r="1424" spans="1:17" s="30" customFormat="1">
      <c r="A1424" s="26" t="s">
        <v>52</v>
      </c>
      <c r="B1424" s="27" t="s">
        <v>512</v>
      </c>
      <c r="C1424" s="27" t="s">
        <v>16</v>
      </c>
      <c r="D1424" s="27"/>
      <c r="E1424" s="27"/>
      <c r="F1424" s="27"/>
      <c r="G1424" s="28">
        <v>2224.6999999999998</v>
      </c>
      <c r="H1424" s="28">
        <v>16207.5</v>
      </c>
      <c r="I1424" s="29" t="e">
        <f t="shared" ref="I1424:M1424" si="547">I1425</f>
        <v>#REF!</v>
      </c>
      <c r="J1424" s="29">
        <f t="shared" si="547"/>
        <v>15800</v>
      </c>
      <c r="K1424" s="29">
        <f t="shared" si="547"/>
        <v>0</v>
      </c>
      <c r="L1424" s="29">
        <f t="shared" si="547"/>
        <v>15800</v>
      </c>
      <c r="M1424" s="29">
        <f t="shared" si="547"/>
        <v>0</v>
      </c>
      <c r="N1424" s="29">
        <v>15800</v>
      </c>
      <c r="O1424" s="29">
        <v>15800</v>
      </c>
      <c r="P1424" s="348">
        <v>15110.4</v>
      </c>
      <c r="Q1424" s="256">
        <v>95.64</v>
      </c>
    </row>
    <row r="1425" spans="1:17" s="30" customFormat="1">
      <c r="A1425" s="26" t="s">
        <v>53</v>
      </c>
      <c r="B1425" s="27" t="s">
        <v>512</v>
      </c>
      <c r="C1425" s="27" t="s">
        <v>16</v>
      </c>
      <c r="D1425" s="27" t="s">
        <v>54</v>
      </c>
      <c r="E1425" s="27"/>
      <c r="F1425" s="27"/>
      <c r="G1425" s="28">
        <v>2224.6999999999998</v>
      </c>
      <c r="H1425" s="28">
        <v>16207.5</v>
      </c>
      <c r="I1425" s="29" t="e">
        <f>I1426+#REF!+I1434</f>
        <v>#REF!</v>
      </c>
      <c r="J1425" s="29">
        <f t="shared" ref="J1425:M1425" si="548">J1426+J1434</f>
        <v>15800</v>
      </c>
      <c r="K1425" s="29">
        <f t="shared" si="548"/>
        <v>0</v>
      </c>
      <c r="L1425" s="29">
        <f t="shared" si="548"/>
        <v>15800</v>
      </c>
      <c r="M1425" s="29">
        <f t="shared" si="548"/>
        <v>0</v>
      </c>
      <c r="N1425" s="29">
        <v>15800</v>
      </c>
      <c r="O1425" s="29">
        <v>15800</v>
      </c>
      <c r="P1425" s="348">
        <v>15110.4</v>
      </c>
      <c r="Q1425" s="256">
        <v>95.64</v>
      </c>
    </row>
    <row r="1426" spans="1:17" s="12" customFormat="1" ht="47.25">
      <c r="A1426" s="8" t="s">
        <v>65</v>
      </c>
      <c r="B1426" s="10" t="s">
        <v>512</v>
      </c>
      <c r="C1426" s="10" t="s">
        <v>16</v>
      </c>
      <c r="D1426" s="10" t="s">
        <v>54</v>
      </c>
      <c r="E1426" s="41" t="s">
        <v>41</v>
      </c>
      <c r="F1426" s="10"/>
      <c r="G1426" s="11">
        <v>1494.7</v>
      </c>
      <c r="H1426" s="11">
        <v>14807.5</v>
      </c>
      <c r="I1426" s="7">
        <f t="shared" ref="I1426:M1426" si="549">I1427</f>
        <v>17.5</v>
      </c>
      <c r="J1426" s="7">
        <f t="shared" si="549"/>
        <v>14825</v>
      </c>
      <c r="K1426" s="7">
        <f t="shared" si="549"/>
        <v>0</v>
      </c>
      <c r="L1426" s="7">
        <f t="shared" si="549"/>
        <v>14825</v>
      </c>
      <c r="M1426" s="7">
        <f t="shared" si="549"/>
        <v>0</v>
      </c>
      <c r="N1426" s="7">
        <v>14825</v>
      </c>
      <c r="O1426" s="7">
        <v>14825</v>
      </c>
      <c r="P1426" s="349">
        <v>14820.6</v>
      </c>
      <c r="Q1426" s="257">
        <v>99.97</v>
      </c>
    </row>
    <row r="1427" spans="1:17" s="12" customFormat="1">
      <c r="A1427" s="8" t="s">
        <v>42</v>
      </c>
      <c r="B1427" s="10" t="s">
        <v>512</v>
      </c>
      <c r="C1427" s="10" t="s">
        <v>16</v>
      </c>
      <c r="D1427" s="10" t="s">
        <v>54</v>
      </c>
      <c r="E1427" s="41" t="s">
        <v>43</v>
      </c>
      <c r="F1427" s="10"/>
      <c r="G1427" s="11">
        <v>1494.7</v>
      </c>
      <c r="H1427" s="11">
        <v>14807.5</v>
      </c>
      <c r="I1427" s="7">
        <f t="shared" ref="I1427:M1427" si="550">I1428+I1429+I1430+I1431+I1432+I1433</f>
        <v>17.5</v>
      </c>
      <c r="J1427" s="7">
        <f t="shared" si="550"/>
        <v>14825</v>
      </c>
      <c r="K1427" s="7">
        <f t="shared" si="550"/>
        <v>0</v>
      </c>
      <c r="L1427" s="7">
        <f t="shared" si="550"/>
        <v>14825</v>
      </c>
      <c r="M1427" s="7">
        <f t="shared" si="550"/>
        <v>0</v>
      </c>
      <c r="N1427" s="7">
        <v>14825</v>
      </c>
      <c r="O1427" s="7">
        <v>14825</v>
      </c>
      <c r="P1427" s="349">
        <v>14820.6</v>
      </c>
      <c r="Q1427" s="257">
        <v>99.97</v>
      </c>
    </row>
    <row r="1428" spans="1:17" s="12" customFormat="1" ht="31.5">
      <c r="A1428" s="8" t="s">
        <v>352</v>
      </c>
      <c r="B1428" s="10" t="s">
        <v>512</v>
      </c>
      <c r="C1428" s="10" t="s">
        <v>16</v>
      </c>
      <c r="D1428" s="10" t="s">
        <v>54</v>
      </c>
      <c r="E1428" s="41" t="s">
        <v>43</v>
      </c>
      <c r="F1428" s="10" t="s">
        <v>331</v>
      </c>
      <c r="G1428" s="11">
        <v>1024.7</v>
      </c>
      <c r="H1428" s="31">
        <v>11857.7</v>
      </c>
      <c r="I1428" s="7"/>
      <c r="J1428" s="7">
        <f t="shared" ref="J1428:J1433" si="551">H1428+I1428</f>
        <v>11857.7</v>
      </c>
      <c r="K1428" s="7">
        <v>365</v>
      </c>
      <c r="L1428" s="7">
        <f t="shared" ref="L1428:L1433" si="552">J1428+K1428</f>
        <v>12222.7</v>
      </c>
      <c r="M1428" s="7"/>
      <c r="N1428" s="7">
        <v>12222.7</v>
      </c>
      <c r="O1428" s="7">
        <v>12222.7</v>
      </c>
      <c r="P1428" s="349">
        <v>12222.6</v>
      </c>
      <c r="Q1428" s="257">
        <v>100</v>
      </c>
    </row>
    <row r="1429" spans="1:17" s="12" customFormat="1" ht="31.5">
      <c r="A1429" s="8" t="s">
        <v>345</v>
      </c>
      <c r="B1429" s="10" t="s">
        <v>512</v>
      </c>
      <c r="C1429" s="10" t="s">
        <v>16</v>
      </c>
      <c r="D1429" s="10" t="s">
        <v>54</v>
      </c>
      <c r="E1429" s="41" t="s">
        <v>43</v>
      </c>
      <c r="F1429" s="10" t="s">
        <v>332</v>
      </c>
      <c r="G1429" s="11">
        <v>3.2</v>
      </c>
      <c r="H1429" s="31">
        <v>223.2</v>
      </c>
      <c r="I1429" s="7"/>
      <c r="J1429" s="7">
        <f t="shared" si="551"/>
        <v>223.2</v>
      </c>
      <c r="K1429" s="7">
        <f>-23.8+23.8</f>
        <v>0</v>
      </c>
      <c r="L1429" s="7">
        <f t="shared" si="552"/>
        <v>223.2</v>
      </c>
      <c r="M1429" s="7">
        <v>-141.80000000000001</v>
      </c>
      <c r="N1429" s="7">
        <v>81.400000000000006</v>
      </c>
      <c r="O1429" s="7">
        <v>81.400000000000006</v>
      </c>
      <c r="P1429" s="349">
        <v>78.599999999999994</v>
      </c>
      <c r="Q1429" s="257">
        <v>96.56</v>
      </c>
    </row>
    <row r="1430" spans="1:17" s="12" customFormat="1" ht="47.25">
      <c r="A1430" s="8" t="s">
        <v>338</v>
      </c>
      <c r="B1430" s="10" t="s">
        <v>512</v>
      </c>
      <c r="C1430" s="10" t="s">
        <v>16</v>
      </c>
      <c r="D1430" s="10" t="s">
        <v>54</v>
      </c>
      <c r="E1430" s="41" t="s">
        <v>43</v>
      </c>
      <c r="F1430" s="10" t="s">
        <v>333</v>
      </c>
      <c r="G1430" s="11">
        <v>-305.3</v>
      </c>
      <c r="H1430" s="31">
        <v>724.7</v>
      </c>
      <c r="I1430" s="7"/>
      <c r="J1430" s="7">
        <f t="shared" si="551"/>
        <v>724.7</v>
      </c>
      <c r="K1430" s="7">
        <v>10.5</v>
      </c>
      <c r="L1430" s="7">
        <f t="shared" si="552"/>
        <v>735.2</v>
      </c>
      <c r="M1430" s="7">
        <v>61.5</v>
      </c>
      <c r="N1430" s="7">
        <v>796.7</v>
      </c>
      <c r="O1430" s="7">
        <v>796.7</v>
      </c>
      <c r="P1430" s="349">
        <v>796.5</v>
      </c>
      <c r="Q1430" s="257">
        <v>99.97</v>
      </c>
    </row>
    <row r="1431" spans="1:17" s="12" customFormat="1" ht="31.5">
      <c r="A1431" s="8" t="s">
        <v>339</v>
      </c>
      <c r="B1431" s="10" t="s">
        <v>512</v>
      </c>
      <c r="C1431" s="10" t="s">
        <v>16</v>
      </c>
      <c r="D1431" s="10" t="s">
        <v>54</v>
      </c>
      <c r="E1431" s="41" t="s">
        <v>43</v>
      </c>
      <c r="F1431" s="10" t="s">
        <v>334</v>
      </c>
      <c r="G1431" s="11">
        <v>782.1</v>
      </c>
      <c r="H1431" s="31">
        <v>1911.9</v>
      </c>
      <c r="I1431" s="7">
        <v>17.5</v>
      </c>
      <c r="J1431" s="7">
        <f t="shared" si="551"/>
        <v>1929.4</v>
      </c>
      <c r="K1431" s="7">
        <f>-31.9+21.4-365</f>
        <v>-375.5</v>
      </c>
      <c r="L1431" s="7">
        <f t="shared" si="552"/>
        <v>1553.9</v>
      </c>
      <c r="M1431" s="7">
        <v>80.3</v>
      </c>
      <c r="N1431" s="7">
        <v>1634.2</v>
      </c>
      <c r="O1431" s="7">
        <v>1634.2</v>
      </c>
      <c r="P1431" s="349">
        <v>1632.9</v>
      </c>
      <c r="Q1431" s="257">
        <v>99.92</v>
      </c>
    </row>
    <row r="1432" spans="1:17" s="12" customFormat="1" ht="31.5">
      <c r="A1432" s="8" t="s">
        <v>340</v>
      </c>
      <c r="B1432" s="10" t="s">
        <v>512</v>
      </c>
      <c r="C1432" s="10" t="s">
        <v>16</v>
      </c>
      <c r="D1432" s="10" t="s">
        <v>54</v>
      </c>
      <c r="E1432" s="41" t="s">
        <v>43</v>
      </c>
      <c r="F1432" s="10" t="s">
        <v>335</v>
      </c>
      <c r="G1432" s="11">
        <v>0</v>
      </c>
      <c r="H1432" s="31">
        <v>47.8</v>
      </c>
      <c r="I1432" s="7"/>
      <c r="J1432" s="7">
        <f t="shared" si="551"/>
        <v>47.8</v>
      </c>
      <c r="K1432" s="7"/>
      <c r="L1432" s="7">
        <f t="shared" si="552"/>
        <v>47.8</v>
      </c>
      <c r="M1432" s="7"/>
      <c r="N1432" s="7">
        <v>47.8</v>
      </c>
      <c r="O1432" s="7">
        <v>47.8</v>
      </c>
      <c r="P1432" s="349">
        <v>47.8</v>
      </c>
      <c r="Q1432" s="257">
        <v>100</v>
      </c>
    </row>
    <row r="1433" spans="1:17" s="12" customFormat="1" ht="31.5">
      <c r="A1433" s="8" t="s">
        <v>341</v>
      </c>
      <c r="B1433" s="10" t="s">
        <v>512</v>
      </c>
      <c r="C1433" s="10" t="s">
        <v>16</v>
      </c>
      <c r="D1433" s="10" t="s">
        <v>54</v>
      </c>
      <c r="E1433" s="41" t="s">
        <v>43</v>
      </c>
      <c r="F1433" s="10" t="s">
        <v>336</v>
      </c>
      <c r="G1433" s="11">
        <v>-10</v>
      </c>
      <c r="H1433" s="31">
        <v>42.2</v>
      </c>
      <c r="I1433" s="7"/>
      <c r="J1433" s="7">
        <f t="shared" si="551"/>
        <v>42.2</v>
      </c>
      <c r="K1433" s="7"/>
      <c r="L1433" s="7">
        <f t="shared" si="552"/>
        <v>42.2</v>
      </c>
      <c r="M1433" s="7"/>
      <c r="N1433" s="7">
        <v>42.2</v>
      </c>
      <c r="O1433" s="7">
        <v>42.2</v>
      </c>
      <c r="P1433" s="349">
        <v>42.2</v>
      </c>
      <c r="Q1433" s="257">
        <v>100</v>
      </c>
    </row>
    <row r="1434" spans="1:17" s="12" customFormat="1">
      <c r="A1434" s="8" t="s">
        <v>363</v>
      </c>
      <c r="B1434" s="10" t="s">
        <v>512</v>
      </c>
      <c r="C1434" s="10" t="s">
        <v>16</v>
      </c>
      <c r="D1434" s="10" t="s">
        <v>54</v>
      </c>
      <c r="E1434" s="57" t="s">
        <v>364</v>
      </c>
      <c r="F1434" s="10"/>
      <c r="G1434" s="11">
        <v>1400</v>
      </c>
      <c r="H1434" s="31">
        <v>1400</v>
      </c>
      <c r="I1434" s="7">
        <f t="shared" ref="I1434:M1435" si="553">I1435</f>
        <v>-425</v>
      </c>
      <c r="J1434" s="7">
        <f t="shared" si="553"/>
        <v>975</v>
      </c>
      <c r="K1434" s="7">
        <f t="shared" si="553"/>
        <v>0</v>
      </c>
      <c r="L1434" s="7">
        <f t="shared" si="553"/>
        <v>975</v>
      </c>
      <c r="M1434" s="7">
        <f t="shared" si="553"/>
        <v>0</v>
      </c>
      <c r="N1434" s="7">
        <v>975</v>
      </c>
      <c r="O1434" s="7">
        <v>975</v>
      </c>
      <c r="P1434" s="349">
        <v>289.8</v>
      </c>
      <c r="Q1434" s="257">
        <v>29.72</v>
      </c>
    </row>
    <row r="1435" spans="1:17" s="12" customFormat="1" ht="47.25">
      <c r="A1435" s="8" t="s">
        <v>684</v>
      </c>
      <c r="B1435" s="10" t="s">
        <v>512</v>
      </c>
      <c r="C1435" s="10" t="s">
        <v>16</v>
      </c>
      <c r="D1435" s="10" t="s">
        <v>54</v>
      </c>
      <c r="E1435" s="57" t="s">
        <v>685</v>
      </c>
      <c r="F1435" s="10"/>
      <c r="G1435" s="11">
        <v>1400</v>
      </c>
      <c r="H1435" s="31">
        <v>1400</v>
      </c>
      <c r="I1435" s="7">
        <f t="shared" si="553"/>
        <v>-425</v>
      </c>
      <c r="J1435" s="7">
        <f t="shared" si="553"/>
        <v>975</v>
      </c>
      <c r="K1435" s="7">
        <f t="shared" si="553"/>
        <v>0</v>
      </c>
      <c r="L1435" s="7">
        <f t="shared" si="553"/>
        <v>975</v>
      </c>
      <c r="M1435" s="7">
        <f t="shared" si="553"/>
        <v>0</v>
      </c>
      <c r="N1435" s="7">
        <v>975</v>
      </c>
      <c r="O1435" s="7">
        <v>975</v>
      </c>
      <c r="P1435" s="349">
        <v>289.8</v>
      </c>
      <c r="Q1435" s="257">
        <v>29.72</v>
      </c>
    </row>
    <row r="1436" spans="1:17" s="12" customFormat="1" ht="31.5">
      <c r="A1436" s="8" t="s">
        <v>339</v>
      </c>
      <c r="B1436" s="10" t="s">
        <v>512</v>
      </c>
      <c r="C1436" s="10" t="s">
        <v>16</v>
      </c>
      <c r="D1436" s="10" t="s">
        <v>54</v>
      </c>
      <c r="E1436" s="57" t="s">
        <v>685</v>
      </c>
      <c r="F1436" s="10" t="s">
        <v>334</v>
      </c>
      <c r="G1436" s="11">
        <v>1400</v>
      </c>
      <c r="H1436" s="31">
        <v>1400</v>
      </c>
      <c r="I1436" s="7">
        <f>-25-400</f>
        <v>-425</v>
      </c>
      <c r="J1436" s="7">
        <f>H1436+I1436</f>
        <v>975</v>
      </c>
      <c r="K1436" s="7"/>
      <c r="L1436" s="7">
        <f>J1436+K1436</f>
        <v>975</v>
      </c>
      <c r="M1436" s="7"/>
      <c r="N1436" s="7">
        <v>975</v>
      </c>
      <c r="O1436" s="7">
        <v>975</v>
      </c>
      <c r="P1436" s="349">
        <v>289.8</v>
      </c>
      <c r="Q1436" s="257">
        <v>29.72</v>
      </c>
    </row>
    <row r="1437" spans="1:17" s="12" customFormat="1">
      <c r="A1437" s="26" t="s">
        <v>156</v>
      </c>
      <c r="B1437" s="27" t="s">
        <v>512</v>
      </c>
      <c r="C1437" s="27" t="s">
        <v>11</v>
      </c>
      <c r="D1437" s="27"/>
      <c r="E1437" s="73"/>
      <c r="F1437" s="27"/>
      <c r="G1437" s="28">
        <v>7337</v>
      </c>
      <c r="H1437" s="60">
        <v>7337</v>
      </c>
      <c r="I1437" s="29" t="e">
        <f t="shared" ref="I1437:M1437" si="554">I1438</f>
        <v>#REF!</v>
      </c>
      <c r="J1437" s="29">
        <f t="shared" si="554"/>
        <v>22457</v>
      </c>
      <c r="K1437" s="29">
        <f t="shared" si="554"/>
        <v>-14.9</v>
      </c>
      <c r="L1437" s="29">
        <f t="shared" si="554"/>
        <v>22442.1</v>
      </c>
      <c r="M1437" s="29">
        <f t="shared" si="554"/>
        <v>0</v>
      </c>
      <c r="N1437" s="29">
        <v>22442.1</v>
      </c>
      <c r="O1437" s="29">
        <v>22442.1</v>
      </c>
      <c r="P1437" s="348">
        <v>22368.7</v>
      </c>
      <c r="Q1437" s="256">
        <v>99.67</v>
      </c>
    </row>
    <row r="1438" spans="1:17" s="12" customFormat="1">
      <c r="A1438" s="26" t="s">
        <v>158</v>
      </c>
      <c r="B1438" s="27" t="s">
        <v>512</v>
      </c>
      <c r="C1438" s="27" t="s">
        <v>11</v>
      </c>
      <c r="D1438" s="27" t="s">
        <v>69</v>
      </c>
      <c r="E1438" s="73"/>
      <c r="F1438" s="27"/>
      <c r="G1438" s="28">
        <v>7337</v>
      </c>
      <c r="H1438" s="60">
        <v>7337</v>
      </c>
      <c r="I1438" s="29" t="e">
        <f t="shared" ref="I1438:M1438" si="555">I1439+I1448</f>
        <v>#REF!</v>
      </c>
      <c r="J1438" s="29">
        <f t="shared" si="555"/>
        <v>22457</v>
      </c>
      <c r="K1438" s="29">
        <f t="shared" si="555"/>
        <v>-14.9</v>
      </c>
      <c r="L1438" s="29">
        <f t="shared" si="555"/>
        <v>22442.1</v>
      </c>
      <c r="M1438" s="29">
        <f t="shared" si="555"/>
        <v>0</v>
      </c>
      <c r="N1438" s="29">
        <v>22442.1</v>
      </c>
      <c r="O1438" s="29">
        <v>22442.1</v>
      </c>
      <c r="P1438" s="348">
        <v>22368.7</v>
      </c>
      <c r="Q1438" s="256">
        <v>99.67</v>
      </c>
    </row>
    <row r="1439" spans="1:17" s="12" customFormat="1">
      <c r="A1439" s="8" t="s">
        <v>17</v>
      </c>
      <c r="B1439" s="10" t="s">
        <v>512</v>
      </c>
      <c r="C1439" s="10" t="s">
        <v>11</v>
      </c>
      <c r="D1439" s="10" t="s">
        <v>69</v>
      </c>
      <c r="E1439" s="10" t="s">
        <v>18</v>
      </c>
      <c r="F1439" s="10"/>
      <c r="G1439" s="11">
        <v>7337</v>
      </c>
      <c r="H1439" s="11">
        <v>7337</v>
      </c>
      <c r="I1439" s="7" t="e">
        <f>#REF!+I1442+I1440+I1445</f>
        <v>#REF!</v>
      </c>
      <c r="J1439" s="7">
        <f t="shared" ref="J1439:M1439" si="556">J1442+J1440+J1445</f>
        <v>22187</v>
      </c>
      <c r="K1439" s="7">
        <f t="shared" si="556"/>
        <v>0</v>
      </c>
      <c r="L1439" s="7">
        <f t="shared" si="556"/>
        <v>22187</v>
      </c>
      <c r="M1439" s="7">
        <f t="shared" si="556"/>
        <v>0</v>
      </c>
      <c r="N1439" s="7">
        <v>22187</v>
      </c>
      <c r="O1439" s="7">
        <v>22187</v>
      </c>
      <c r="P1439" s="349">
        <v>22187</v>
      </c>
      <c r="Q1439" s="256">
        <v>100</v>
      </c>
    </row>
    <row r="1440" spans="1:17" s="12" customFormat="1" ht="31.5">
      <c r="A1440" s="9" t="s">
        <v>871</v>
      </c>
      <c r="B1440" s="10" t="s">
        <v>512</v>
      </c>
      <c r="C1440" s="10" t="s">
        <v>11</v>
      </c>
      <c r="D1440" s="10" t="s">
        <v>69</v>
      </c>
      <c r="E1440" s="10" t="s">
        <v>870</v>
      </c>
      <c r="F1440" s="10"/>
      <c r="G1440" s="11"/>
      <c r="H1440" s="31">
        <f t="shared" ref="H1440:M1440" si="557">H1441</f>
        <v>0</v>
      </c>
      <c r="I1440" s="7">
        <f t="shared" si="557"/>
        <v>3000</v>
      </c>
      <c r="J1440" s="7">
        <f t="shared" si="557"/>
        <v>3000</v>
      </c>
      <c r="K1440" s="7">
        <f t="shared" si="557"/>
        <v>0</v>
      </c>
      <c r="L1440" s="7">
        <f t="shared" si="557"/>
        <v>3000</v>
      </c>
      <c r="M1440" s="7">
        <f t="shared" si="557"/>
        <v>0</v>
      </c>
      <c r="N1440" s="7">
        <v>3000</v>
      </c>
      <c r="O1440" s="7">
        <v>3000</v>
      </c>
      <c r="P1440" s="349">
        <v>3000</v>
      </c>
      <c r="Q1440" s="257">
        <v>100</v>
      </c>
    </row>
    <row r="1441" spans="1:17" s="12" customFormat="1">
      <c r="A1441" s="8" t="s">
        <v>541</v>
      </c>
      <c r="B1441" s="10" t="s">
        <v>512</v>
      </c>
      <c r="C1441" s="10" t="s">
        <v>11</v>
      </c>
      <c r="D1441" s="10" t="s">
        <v>69</v>
      </c>
      <c r="E1441" s="10" t="s">
        <v>870</v>
      </c>
      <c r="F1441" s="10" t="s">
        <v>542</v>
      </c>
      <c r="G1441" s="11"/>
      <c r="H1441" s="31"/>
      <c r="I1441" s="7">
        <f>3000</f>
        <v>3000</v>
      </c>
      <c r="J1441" s="7">
        <f>H1441+I1441</f>
        <v>3000</v>
      </c>
      <c r="K1441" s="7"/>
      <c r="L1441" s="7">
        <f>J1441+K1441</f>
        <v>3000</v>
      </c>
      <c r="M1441" s="7"/>
      <c r="N1441" s="7">
        <v>3000</v>
      </c>
      <c r="O1441" s="7">
        <v>3000</v>
      </c>
      <c r="P1441" s="349">
        <v>3000</v>
      </c>
      <c r="Q1441" s="257">
        <v>100</v>
      </c>
    </row>
    <row r="1442" spans="1:17" s="12" customFormat="1" ht="47.25">
      <c r="A1442" s="8" t="s">
        <v>423</v>
      </c>
      <c r="B1442" s="10" t="s">
        <v>512</v>
      </c>
      <c r="C1442" s="10" t="s">
        <v>11</v>
      </c>
      <c r="D1442" s="10" t="s">
        <v>69</v>
      </c>
      <c r="E1442" s="57" t="s">
        <v>315</v>
      </c>
      <c r="F1442" s="10"/>
      <c r="G1442" s="11">
        <v>4337</v>
      </c>
      <c r="H1442" s="31">
        <v>4337</v>
      </c>
      <c r="I1442" s="7">
        <f t="shared" ref="I1442:M1443" si="558">I1443</f>
        <v>0</v>
      </c>
      <c r="J1442" s="7">
        <f t="shared" si="558"/>
        <v>4337</v>
      </c>
      <c r="K1442" s="7">
        <f t="shared" si="558"/>
        <v>0</v>
      </c>
      <c r="L1442" s="7">
        <f t="shared" si="558"/>
        <v>4337</v>
      </c>
      <c r="M1442" s="7">
        <f t="shared" si="558"/>
        <v>0</v>
      </c>
      <c r="N1442" s="7">
        <v>4337</v>
      </c>
      <c r="O1442" s="7">
        <v>4337</v>
      </c>
      <c r="P1442" s="349">
        <v>4337</v>
      </c>
      <c r="Q1442" s="257">
        <v>100</v>
      </c>
    </row>
    <row r="1443" spans="1:17" s="12" customFormat="1" ht="31.5">
      <c r="A1443" s="8" t="s">
        <v>539</v>
      </c>
      <c r="B1443" s="10" t="s">
        <v>512</v>
      </c>
      <c r="C1443" s="10" t="s">
        <v>11</v>
      </c>
      <c r="D1443" s="10" t="s">
        <v>69</v>
      </c>
      <c r="E1443" s="57" t="s">
        <v>540</v>
      </c>
      <c r="F1443" s="10"/>
      <c r="G1443" s="11">
        <v>4337</v>
      </c>
      <c r="H1443" s="11">
        <v>4337</v>
      </c>
      <c r="I1443" s="7">
        <f t="shared" si="558"/>
        <v>0</v>
      </c>
      <c r="J1443" s="7">
        <f t="shared" si="558"/>
        <v>4337</v>
      </c>
      <c r="K1443" s="7">
        <f t="shared" si="558"/>
        <v>0</v>
      </c>
      <c r="L1443" s="7">
        <f t="shared" si="558"/>
        <v>4337</v>
      </c>
      <c r="M1443" s="7">
        <f t="shared" si="558"/>
        <v>0</v>
      </c>
      <c r="N1443" s="7">
        <v>4337</v>
      </c>
      <c r="O1443" s="7">
        <v>4337</v>
      </c>
      <c r="P1443" s="349">
        <v>4337</v>
      </c>
      <c r="Q1443" s="257">
        <v>100</v>
      </c>
    </row>
    <row r="1444" spans="1:17" s="12" customFormat="1">
      <c r="A1444" s="8" t="s">
        <v>541</v>
      </c>
      <c r="B1444" s="10" t="s">
        <v>512</v>
      </c>
      <c r="C1444" s="10" t="s">
        <v>11</v>
      </c>
      <c r="D1444" s="10" t="s">
        <v>69</v>
      </c>
      <c r="E1444" s="57" t="s">
        <v>540</v>
      </c>
      <c r="F1444" s="10" t="s">
        <v>542</v>
      </c>
      <c r="G1444" s="11">
        <v>4337</v>
      </c>
      <c r="H1444" s="31">
        <v>4337</v>
      </c>
      <c r="I1444" s="7"/>
      <c r="J1444" s="7">
        <f>H1444+I1444</f>
        <v>4337</v>
      </c>
      <c r="K1444" s="7"/>
      <c r="L1444" s="7">
        <f>J1444+K1444</f>
        <v>4337</v>
      </c>
      <c r="M1444" s="7"/>
      <c r="N1444" s="7">
        <v>4337</v>
      </c>
      <c r="O1444" s="7">
        <v>4337</v>
      </c>
      <c r="P1444" s="349">
        <v>4337</v>
      </c>
      <c r="Q1444" s="257">
        <v>100</v>
      </c>
    </row>
    <row r="1445" spans="1:17" s="12" customFormat="1">
      <c r="A1445" s="8" t="s">
        <v>83</v>
      </c>
      <c r="B1445" s="10" t="s">
        <v>512</v>
      </c>
      <c r="C1445" s="10" t="s">
        <v>11</v>
      </c>
      <c r="D1445" s="10" t="s">
        <v>69</v>
      </c>
      <c r="E1445" s="80" t="s">
        <v>84</v>
      </c>
      <c r="F1445" s="10"/>
      <c r="G1445" s="11"/>
      <c r="H1445" s="31">
        <f t="shared" ref="H1445:M1446" si="559">H1446</f>
        <v>0</v>
      </c>
      <c r="I1445" s="31">
        <f t="shared" si="559"/>
        <v>14850</v>
      </c>
      <c r="J1445" s="31">
        <f t="shared" si="559"/>
        <v>14850</v>
      </c>
      <c r="K1445" s="31">
        <f t="shared" si="559"/>
        <v>0</v>
      </c>
      <c r="L1445" s="31">
        <f t="shared" si="559"/>
        <v>14850</v>
      </c>
      <c r="M1445" s="31">
        <f t="shared" si="559"/>
        <v>0</v>
      </c>
      <c r="N1445" s="31">
        <v>14850</v>
      </c>
      <c r="O1445" s="36">
        <v>14850</v>
      </c>
      <c r="P1445" s="350">
        <v>14850</v>
      </c>
      <c r="Q1445" s="257">
        <v>100</v>
      </c>
    </row>
    <row r="1446" spans="1:17" s="12" customFormat="1" ht="31.5">
      <c r="A1446" s="81" t="s">
        <v>880</v>
      </c>
      <c r="B1446" s="10" t="s">
        <v>512</v>
      </c>
      <c r="C1446" s="10" t="s">
        <v>11</v>
      </c>
      <c r="D1446" s="10" t="s">
        <v>69</v>
      </c>
      <c r="E1446" s="80" t="s">
        <v>879</v>
      </c>
      <c r="F1446" s="10"/>
      <c r="G1446" s="11"/>
      <c r="H1446" s="31">
        <f t="shared" si="559"/>
        <v>0</v>
      </c>
      <c r="I1446" s="31">
        <f t="shared" si="559"/>
        <v>14850</v>
      </c>
      <c r="J1446" s="31">
        <f t="shared" si="559"/>
        <v>14850</v>
      </c>
      <c r="K1446" s="31">
        <f t="shared" si="559"/>
        <v>0</v>
      </c>
      <c r="L1446" s="31">
        <f t="shared" si="559"/>
        <v>14850</v>
      </c>
      <c r="M1446" s="31">
        <f t="shared" si="559"/>
        <v>0</v>
      </c>
      <c r="N1446" s="31">
        <v>14850</v>
      </c>
      <c r="O1446" s="36">
        <v>14850</v>
      </c>
      <c r="P1446" s="350">
        <v>14850</v>
      </c>
      <c r="Q1446" s="257">
        <v>100</v>
      </c>
    </row>
    <row r="1447" spans="1:17" s="12" customFormat="1">
      <c r="A1447" s="8" t="s">
        <v>541</v>
      </c>
      <c r="B1447" s="10" t="s">
        <v>512</v>
      </c>
      <c r="C1447" s="10" t="s">
        <v>11</v>
      </c>
      <c r="D1447" s="10" t="s">
        <v>69</v>
      </c>
      <c r="E1447" s="80" t="s">
        <v>879</v>
      </c>
      <c r="F1447" s="10" t="s">
        <v>542</v>
      </c>
      <c r="G1447" s="11"/>
      <c r="H1447" s="31"/>
      <c r="I1447" s="7">
        <v>14850</v>
      </c>
      <c r="J1447" s="7">
        <f>H1447+I1447</f>
        <v>14850</v>
      </c>
      <c r="K1447" s="7"/>
      <c r="L1447" s="7">
        <f>J1447+K1447</f>
        <v>14850</v>
      </c>
      <c r="M1447" s="7"/>
      <c r="N1447" s="7">
        <v>14850</v>
      </c>
      <c r="O1447" s="7">
        <v>14850</v>
      </c>
      <c r="P1447" s="349">
        <v>14850</v>
      </c>
      <c r="Q1447" s="257">
        <v>100</v>
      </c>
    </row>
    <row r="1448" spans="1:17" s="12" customFormat="1">
      <c r="A1448" s="8" t="s">
        <v>363</v>
      </c>
      <c r="B1448" s="10" t="s">
        <v>512</v>
      </c>
      <c r="C1448" s="10" t="s">
        <v>11</v>
      </c>
      <c r="D1448" s="10" t="s">
        <v>69</v>
      </c>
      <c r="E1448" s="80" t="s">
        <v>364</v>
      </c>
      <c r="F1448" s="10"/>
      <c r="G1448" s="11"/>
      <c r="H1448" s="31">
        <f>H1449</f>
        <v>0</v>
      </c>
      <c r="I1448" s="31">
        <f t="shared" ref="I1448:M1449" si="560">I1449</f>
        <v>270</v>
      </c>
      <c r="J1448" s="31">
        <f t="shared" si="560"/>
        <v>270</v>
      </c>
      <c r="K1448" s="31">
        <f t="shared" si="560"/>
        <v>-14.9</v>
      </c>
      <c r="L1448" s="31">
        <f t="shared" si="560"/>
        <v>255.1</v>
      </c>
      <c r="M1448" s="31">
        <f t="shared" si="560"/>
        <v>0</v>
      </c>
      <c r="N1448" s="31">
        <v>255.1</v>
      </c>
      <c r="O1448" s="36">
        <v>255.1</v>
      </c>
      <c r="P1448" s="350">
        <v>181.7</v>
      </c>
      <c r="Q1448" s="257">
        <v>71.23</v>
      </c>
    </row>
    <row r="1449" spans="1:17" s="12" customFormat="1" ht="31.5">
      <c r="A1449" s="6" t="s">
        <v>914</v>
      </c>
      <c r="B1449" s="10" t="s">
        <v>512</v>
      </c>
      <c r="C1449" s="10" t="s">
        <v>11</v>
      </c>
      <c r="D1449" s="10" t="s">
        <v>69</v>
      </c>
      <c r="E1449" s="80" t="s">
        <v>913</v>
      </c>
      <c r="F1449" s="10"/>
      <c r="G1449" s="11"/>
      <c r="H1449" s="31">
        <f>H1450</f>
        <v>0</v>
      </c>
      <c r="I1449" s="31">
        <f t="shared" si="560"/>
        <v>270</v>
      </c>
      <c r="J1449" s="31">
        <f t="shared" si="560"/>
        <v>270</v>
      </c>
      <c r="K1449" s="31">
        <f t="shared" si="560"/>
        <v>-14.9</v>
      </c>
      <c r="L1449" s="31">
        <f t="shared" si="560"/>
        <v>255.1</v>
      </c>
      <c r="M1449" s="31">
        <f t="shared" si="560"/>
        <v>0</v>
      </c>
      <c r="N1449" s="31">
        <v>255.1</v>
      </c>
      <c r="O1449" s="36">
        <v>255.1</v>
      </c>
      <c r="P1449" s="350">
        <v>181.7</v>
      </c>
      <c r="Q1449" s="257">
        <v>71.23</v>
      </c>
    </row>
    <row r="1450" spans="1:17" s="12" customFormat="1">
      <c r="A1450" s="8" t="s">
        <v>362</v>
      </c>
      <c r="B1450" s="10" t="s">
        <v>512</v>
      </c>
      <c r="C1450" s="10" t="s">
        <v>11</v>
      </c>
      <c r="D1450" s="10" t="s">
        <v>69</v>
      </c>
      <c r="E1450" s="80" t="s">
        <v>913</v>
      </c>
      <c r="F1450" s="10" t="s">
        <v>334</v>
      </c>
      <c r="G1450" s="11"/>
      <c r="H1450" s="31"/>
      <c r="I1450" s="7">
        <v>270</v>
      </c>
      <c r="J1450" s="7">
        <f>H1450+I1450</f>
        <v>270</v>
      </c>
      <c r="K1450" s="7">
        <v>-14.9</v>
      </c>
      <c r="L1450" s="7">
        <f>J1450+K1450</f>
        <v>255.1</v>
      </c>
      <c r="M1450" s="7"/>
      <c r="N1450" s="7">
        <v>255.1</v>
      </c>
      <c r="O1450" s="7">
        <v>255.1</v>
      </c>
      <c r="P1450" s="349">
        <v>181.7</v>
      </c>
      <c r="Q1450" s="257">
        <v>71.23</v>
      </c>
    </row>
    <row r="1451" spans="1:17" s="12" customFormat="1">
      <c r="A1451" s="26" t="s">
        <v>8</v>
      </c>
      <c r="B1451" s="27" t="s">
        <v>512</v>
      </c>
      <c r="C1451" s="27" t="s">
        <v>9</v>
      </c>
      <c r="D1451" s="27"/>
      <c r="E1451" s="27"/>
      <c r="F1451" s="27"/>
      <c r="G1451" s="11"/>
      <c r="H1451" s="31">
        <f>H1452</f>
        <v>0</v>
      </c>
      <c r="I1451" s="31">
        <f t="shared" ref="I1451:M1453" si="561">I1452</f>
        <v>137.5</v>
      </c>
      <c r="J1451" s="31">
        <f t="shared" si="561"/>
        <v>137.5</v>
      </c>
      <c r="K1451" s="31" t="e">
        <f t="shared" si="561"/>
        <v>#REF!</v>
      </c>
      <c r="L1451" s="31" t="e">
        <f t="shared" si="561"/>
        <v>#REF!</v>
      </c>
      <c r="M1451" s="31" t="e">
        <f t="shared" si="561"/>
        <v>#REF!</v>
      </c>
      <c r="N1451" s="31">
        <v>152.4</v>
      </c>
      <c r="O1451" s="36">
        <v>152.4</v>
      </c>
      <c r="P1451" s="350">
        <v>151.4</v>
      </c>
      <c r="Q1451" s="256">
        <v>99.34</v>
      </c>
    </row>
    <row r="1452" spans="1:17" s="12" customFormat="1" ht="31.5">
      <c r="A1452" s="26" t="s">
        <v>75</v>
      </c>
      <c r="B1452" s="27" t="s">
        <v>512</v>
      </c>
      <c r="C1452" s="27" t="s">
        <v>9</v>
      </c>
      <c r="D1452" s="27" t="s">
        <v>31</v>
      </c>
      <c r="E1452" s="27"/>
      <c r="F1452" s="27"/>
      <c r="G1452" s="11"/>
      <c r="H1452" s="31">
        <f>H1453</f>
        <v>0</v>
      </c>
      <c r="I1452" s="31">
        <f>I1453+I1456</f>
        <v>137.5</v>
      </c>
      <c r="J1452" s="60">
        <f>J1453+J1456</f>
        <v>137.5</v>
      </c>
      <c r="K1452" s="60" t="e">
        <f>K1453+K1456</f>
        <v>#REF!</v>
      </c>
      <c r="L1452" s="60" t="e">
        <f>L1453+L1456</f>
        <v>#REF!</v>
      </c>
      <c r="M1452" s="60" t="e">
        <f>M1453+M1456</f>
        <v>#REF!</v>
      </c>
      <c r="N1452" s="60">
        <v>152.4</v>
      </c>
      <c r="O1452" s="74">
        <v>152.4</v>
      </c>
      <c r="P1452" s="352">
        <v>151.4</v>
      </c>
      <c r="Q1452" s="256">
        <v>99.34</v>
      </c>
    </row>
    <row r="1453" spans="1:17" s="12" customFormat="1">
      <c r="A1453" s="8" t="s">
        <v>343</v>
      </c>
      <c r="B1453" s="10" t="s">
        <v>512</v>
      </c>
      <c r="C1453" s="10" t="s">
        <v>9</v>
      </c>
      <c r="D1453" s="10" t="s">
        <v>31</v>
      </c>
      <c r="E1453" s="10" t="s">
        <v>342</v>
      </c>
      <c r="F1453" s="10"/>
      <c r="G1453" s="11"/>
      <c r="H1453" s="31">
        <f>H1454</f>
        <v>0</v>
      </c>
      <c r="I1453" s="31">
        <f t="shared" si="561"/>
        <v>7.5</v>
      </c>
      <c r="J1453" s="31">
        <f t="shared" si="561"/>
        <v>7.5</v>
      </c>
      <c r="K1453" s="31" t="e">
        <f t="shared" si="561"/>
        <v>#REF!</v>
      </c>
      <c r="L1453" s="31" t="e">
        <f t="shared" si="561"/>
        <v>#REF!</v>
      </c>
      <c r="M1453" s="31" t="e">
        <f t="shared" si="561"/>
        <v>#REF!</v>
      </c>
      <c r="N1453" s="31">
        <v>7.5</v>
      </c>
      <c r="O1453" s="36">
        <v>7.5</v>
      </c>
      <c r="P1453" s="350">
        <v>6.7</v>
      </c>
      <c r="Q1453" s="257">
        <v>89.33</v>
      </c>
    </row>
    <row r="1454" spans="1:17" s="12" customFormat="1" ht="31.5">
      <c r="A1454" s="8" t="s">
        <v>471</v>
      </c>
      <c r="B1454" s="10" t="s">
        <v>512</v>
      </c>
      <c r="C1454" s="10" t="s">
        <v>9</v>
      </c>
      <c r="D1454" s="10" t="s">
        <v>31</v>
      </c>
      <c r="E1454" s="10" t="s">
        <v>344</v>
      </c>
      <c r="F1454" s="10"/>
      <c r="G1454" s="11"/>
      <c r="H1454" s="31">
        <f>H1455</f>
        <v>0</v>
      </c>
      <c r="I1454" s="31">
        <f>I1455</f>
        <v>7.5</v>
      </c>
      <c r="J1454" s="31">
        <f>J1455</f>
        <v>7.5</v>
      </c>
      <c r="K1454" s="31" t="e">
        <f>K1455+#REF!</f>
        <v>#REF!</v>
      </c>
      <c r="L1454" s="31" t="e">
        <f>L1455+#REF!</f>
        <v>#REF!</v>
      </c>
      <c r="M1454" s="31" t="e">
        <f>M1455+#REF!</f>
        <v>#REF!</v>
      </c>
      <c r="N1454" s="31">
        <v>7.5</v>
      </c>
      <c r="O1454" s="36">
        <v>7.5</v>
      </c>
      <c r="P1454" s="350">
        <v>6.7</v>
      </c>
      <c r="Q1454" s="257">
        <v>89.33</v>
      </c>
    </row>
    <row r="1455" spans="1:17" s="12" customFormat="1">
      <c r="A1455" s="8" t="s">
        <v>362</v>
      </c>
      <c r="B1455" s="10" t="s">
        <v>512</v>
      </c>
      <c r="C1455" s="10" t="s">
        <v>9</v>
      </c>
      <c r="D1455" s="10" t="s">
        <v>31</v>
      </c>
      <c r="E1455" s="10" t="s">
        <v>344</v>
      </c>
      <c r="F1455" s="10" t="s">
        <v>334</v>
      </c>
      <c r="G1455" s="11"/>
      <c r="H1455" s="31"/>
      <c r="I1455" s="7">
        <v>7.5</v>
      </c>
      <c r="J1455" s="7">
        <f>H1455+I1455</f>
        <v>7.5</v>
      </c>
      <c r="K1455" s="7">
        <f>31.9-31.9</f>
        <v>0</v>
      </c>
      <c r="L1455" s="7">
        <f>J1455+K1455</f>
        <v>7.5</v>
      </c>
      <c r="M1455" s="7"/>
      <c r="N1455" s="7">
        <v>7.5</v>
      </c>
      <c r="O1455" s="7">
        <v>7.5</v>
      </c>
      <c r="P1455" s="349">
        <v>6.7</v>
      </c>
      <c r="Q1455" s="257">
        <v>89.33</v>
      </c>
    </row>
    <row r="1456" spans="1:17" s="12" customFormat="1">
      <c r="A1456" s="8" t="s">
        <v>363</v>
      </c>
      <c r="B1456" s="10" t="s">
        <v>512</v>
      </c>
      <c r="C1456" s="10" t="s">
        <v>9</v>
      </c>
      <c r="D1456" s="10" t="s">
        <v>31</v>
      </c>
      <c r="E1456" s="80" t="s">
        <v>364</v>
      </c>
      <c r="F1456" s="10"/>
      <c r="G1456" s="11"/>
      <c r="H1456" s="31">
        <f t="shared" ref="H1456:M1456" si="562">H1457</f>
        <v>0</v>
      </c>
      <c r="I1456" s="31">
        <f t="shared" si="562"/>
        <v>130</v>
      </c>
      <c r="J1456" s="31">
        <f t="shared" si="562"/>
        <v>130</v>
      </c>
      <c r="K1456" s="31">
        <f t="shared" si="562"/>
        <v>14.9</v>
      </c>
      <c r="L1456" s="31">
        <f t="shared" si="562"/>
        <v>144.9</v>
      </c>
      <c r="M1456" s="31">
        <f t="shared" si="562"/>
        <v>0</v>
      </c>
      <c r="N1456" s="31">
        <v>144.9</v>
      </c>
      <c r="O1456" s="36">
        <v>144.9</v>
      </c>
      <c r="P1456" s="350">
        <v>144.69999999999999</v>
      </c>
      <c r="Q1456" s="257">
        <v>99.86</v>
      </c>
    </row>
    <row r="1457" spans="1:17" s="12" customFormat="1" ht="31.5">
      <c r="A1457" s="6" t="s">
        <v>914</v>
      </c>
      <c r="B1457" s="10" t="s">
        <v>512</v>
      </c>
      <c r="C1457" s="10" t="s">
        <v>9</v>
      </c>
      <c r="D1457" s="10" t="s">
        <v>31</v>
      </c>
      <c r="E1457" s="80" t="s">
        <v>913</v>
      </c>
      <c r="F1457" s="10"/>
      <c r="G1457" s="11"/>
      <c r="H1457" s="31">
        <f>H1459</f>
        <v>0</v>
      </c>
      <c r="I1457" s="31">
        <f>I1459</f>
        <v>130</v>
      </c>
      <c r="J1457" s="31">
        <f>J1459</f>
        <v>130</v>
      </c>
      <c r="K1457" s="31">
        <f t="shared" ref="K1457:M1457" si="563">K1459+K1458</f>
        <v>14.9</v>
      </c>
      <c r="L1457" s="31">
        <f t="shared" si="563"/>
        <v>144.9</v>
      </c>
      <c r="M1457" s="31">
        <f t="shared" si="563"/>
        <v>0</v>
      </c>
      <c r="N1457" s="31">
        <v>144.9</v>
      </c>
      <c r="O1457" s="36">
        <v>144.9</v>
      </c>
      <c r="P1457" s="350">
        <v>144.69999999999999</v>
      </c>
      <c r="Q1457" s="257">
        <v>99.86</v>
      </c>
    </row>
    <row r="1458" spans="1:17" s="12" customFormat="1" ht="31.5">
      <c r="A1458" s="8" t="s">
        <v>345</v>
      </c>
      <c r="B1458" s="10" t="s">
        <v>512</v>
      </c>
      <c r="C1458" s="10" t="s">
        <v>9</v>
      </c>
      <c r="D1458" s="10" t="s">
        <v>31</v>
      </c>
      <c r="E1458" s="80" t="s">
        <v>913</v>
      </c>
      <c r="F1458" s="10" t="s">
        <v>332</v>
      </c>
      <c r="G1458" s="11"/>
      <c r="H1458" s="31"/>
      <c r="I1458" s="31"/>
      <c r="J1458" s="31"/>
      <c r="K1458" s="31">
        <f>1.5+97.7</f>
        <v>99.2</v>
      </c>
      <c r="L1458" s="31">
        <f>J1458+K1458</f>
        <v>99.2</v>
      </c>
      <c r="M1458" s="31">
        <v>0.1</v>
      </c>
      <c r="N1458" s="31">
        <v>99.3</v>
      </c>
      <c r="O1458" s="7">
        <v>99.3</v>
      </c>
      <c r="P1458" s="349">
        <v>99.1</v>
      </c>
      <c r="Q1458" s="257">
        <v>99.8</v>
      </c>
    </row>
    <row r="1459" spans="1:17" s="12" customFormat="1">
      <c r="A1459" s="8" t="s">
        <v>362</v>
      </c>
      <c r="B1459" s="10" t="s">
        <v>512</v>
      </c>
      <c r="C1459" s="10" t="s">
        <v>9</v>
      </c>
      <c r="D1459" s="10" t="s">
        <v>31</v>
      </c>
      <c r="E1459" s="80" t="s">
        <v>913</v>
      </c>
      <c r="F1459" s="10" t="s">
        <v>334</v>
      </c>
      <c r="G1459" s="11"/>
      <c r="H1459" s="31"/>
      <c r="I1459" s="7">
        <v>130</v>
      </c>
      <c r="J1459" s="7">
        <f>H1459+I1459</f>
        <v>130</v>
      </c>
      <c r="K1459" s="7">
        <f>-1.5-82.8</f>
        <v>-84.3</v>
      </c>
      <c r="L1459" s="7">
        <f>J1459+K1459</f>
        <v>45.7</v>
      </c>
      <c r="M1459" s="7">
        <v>-0.1</v>
      </c>
      <c r="N1459" s="7">
        <v>45.6</v>
      </c>
      <c r="O1459" s="7">
        <v>45.6</v>
      </c>
      <c r="P1459" s="349">
        <v>45.6</v>
      </c>
      <c r="Q1459" s="257">
        <v>100</v>
      </c>
    </row>
    <row r="1460" spans="1:17" s="30" customFormat="1">
      <c r="A1460" s="408" t="s">
        <v>261</v>
      </c>
      <c r="B1460" s="409"/>
      <c r="C1460" s="409"/>
      <c r="D1460" s="409"/>
      <c r="E1460" s="409"/>
      <c r="F1460" s="409"/>
      <c r="G1460" s="28">
        <v>37689.599999999999</v>
      </c>
      <c r="H1460" s="28">
        <v>65748.7</v>
      </c>
      <c r="I1460" s="29" t="e">
        <f t="shared" ref="I1460:M1460" si="564">I1461+I1477</f>
        <v>#REF!</v>
      </c>
      <c r="J1460" s="29">
        <f t="shared" si="564"/>
        <v>77748.7</v>
      </c>
      <c r="K1460" s="29">
        <f t="shared" si="564"/>
        <v>4234.6000000000004</v>
      </c>
      <c r="L1460" s="29">
        <f t="shared" si="564"/>
        <v>81983.3</v>
      </c>
      <c r="M1460" s="29">
        <f t="shared" si="564"/>
        <v>72981.399999999994</v>
      </c>
      <c r="N1460" s="29">
        <v>154964.70000000001</v>
      </c>
      <c r="O1460" s="29">
        <v>154964.70000000001</v>
      </c>
      <c r="P1460" s="348">
        <v>119416.9</v>
      </c>
      <c r="Q1460" s="256">
        <v>77.06</v>
      </c>
    </row>
    <row r="1461" spans="1:17" s="30" customFormat="1">
      <c r="A1461" s="26" t="s">
        <v>8</v>
      </c>
      <c r="B1461" s="27" t="s">
        <v>513</v>
      </c>
      <c r="C1461" s="27" t="s">
        <v>9</v>
      </c>
      <c r="D1461" s="27"/>
      <c r="E1461" s="27"/>
      <c r="F1461" s="27"/>
      <c r="G1461" s="28">
        <v>340.3</v>
      </c>
      <c r="H1461" s="28">
        <v>13974.9</v>
      </c>
      <c r="I1461" s="29">
        <f t="shared" ref="I1461:M1461" si="565">I1462</f>
        <v>3000</v>
      </c>
      <c r="J1461" s="29">
        <f t="shared" si="565"/>
        <v>16974.900000000001</v>
      </c>
      <c r="K1461" s="29">
        <f t="shared" si="565"/>
        <v>4064.8</v>
      </c>
      <c r="L1461" s="29">
        <f t="shared" si="565"/>
        <v>21039.7</v>
      </c>
      <c r="M1461" s="29">
        <f t="shared" si="565"/>
        <v>3803.5</v>
      </c>
      <c r="N1461" s="29">
        <v>24843.200000000001</v>
      </c>
      <c r="O1461" s="29">
        <v>24843.200000000001</v>
      </c>
      <c r="P1461" s="348">
        <v>24843.1</v>
      </c>
      <c r="Q1461" s="256">
        <v>100</v>
      </c>
    </row>
    <row r="1462" spans="1:17" s="30" customFormat="1">
      <c r="A1462" s="26" t="s">
        <v>73</v>
      </c>
      <c r="B1462" s="27" t="s">
        <v>513</v>
      </c>
      <c r="C1462" s="27" t="s">
        <v>9</v>
      </c>
      <c r="D1462" s="27" t="s">
        <v>26</v>
      </c>
      <c r="E1462" s="27"/>
      <c r="F1462" s="27"/>
      <c r="G1462" s="28">
        <v>340.3</v>
      </c>
      <c r="H1462" s="28">
        <v>13974.9</v>
      </c>
      <c r="I1462" s="29">
        <f>I1472+I1469</f>
        <v>3000</v>
      </c>
      <c r="J1462" s="29">
        <f>J1472+J1469+J1463</f>
        <v>16974.900000000001</v>
      </c>
      <c r="K1462" s="29">
        <f>K1472+K1469+K1463</f>
        <v>4064.8</v>
      </c>
      <c r="L1462" s="29">
        <f>L1472+L1469+L1463+L1466</f>
        <v>21039.7</v>
      </c>
      <c r="M1462" s="29">
        <f>M1472+M1469+M1463+M1466</f>
        <v>3803.5</v>
      </c>
      <c r="N1462" s="29">
        <v>24843.200000000001</v>
      </c>
      <c r="O1462" s="29">
        <v>24843.200000000001</v>
      </c>
      <c r="P1462" s="348">
        <v>24843.1</v>
      </c>
      <c r="Q1462" s="256">
        <v>100</v>
      </c>
    </row>
    <row r="1463" spans="1:17" s="30" customFormat="1" ht="31.5">
      <c r="A1463" s="8" t="s">
        <v>922</v>
      </c>
      <c r="B1463" s="10" t="s">
        <v>513</v>
      </c>
      <c r="C1463" s="10" t="s">
        <v>9</v>
      </c>
      <c r="D1463" s="10" t="s">
        <v>26</v>
      </c>
      <c r="E1463" s="10" t="s">
        <v>921</v>
      </c>
      <c r="F1463" s="10"/>
      <c r="G1463" s="11"/>
      <c r="H1463" s="11"/>
      <c r="I1463" s="7"/>
      <c r="J1463" s="7">
        <f t="shared" ref="J1463:M1464" si="566">J1464</f>
        <v>0</v>
      </c>
      <c r="K1463" s="7">
        <f t="shared" si="566"/>
        <v>2200</v>
      </c>
      <c r="L1463" s="7">
        <f t="shared" si="566"/>
        <v>2200</v>
      </c>
      <c r="M1463" s="7">
        <f t="shared" si="566"/>
        <v>0</v>
      </c>
      <c r="N1463" s="7">
        <v>2200</v>
      </c>
      <c r="O1463" s="7">
        <v>2200</v>
      </c>
      <c r="P1463" s="349">
        <v>2200</v>
      </c>
      <c r="Q1463" s="257">
        <v>100</v>
      </c>
    </row>
    <row r="1464" spans="1:17" s="30" customFormat="1" ht="31.5">
      <c r="A1464" s="8" t="s">
        <v>923</v>
      </c>
      <c r="B1464" s="10" t="s">
        <v>513</v>
      </c>
      <c r="C1464" s="10" t="s">
        <v>9</v>
      </c>
      <c r="D1464" s="10" t="s">
        <v>26</v>
      </c>
      <c r="E1464" s="10" t="s">
        <v>920</v>
      </c>
      <c r="F1464" s="10"/>
      <c r="G1464" s="11"/>
      <c r="H1464" s="11"/>
      <c r="I1464" s="7"/>
      <c r="J1464" s="7">
        <f t="shared" si="566"/>
        <v>0</v>
      </c>
      <c r="K1464" s="7">
        <f t="shared" si="566"/>
        <v>2200</v>
      </c>
      <c r="L1464" s="7">
        <f t="shared" si="566"/>
        <v>2200</v>
      </c>
      <c r="M1464" s="7">
        <f t="shared" si="566"/>
        <v>0</v>
      </c>
      <c r="N1464" s="7">
        <v>2200</v>
      </c>
      <c r="O1464" s="7">
        <v>2200</v>
      </c>
      <c r="P1464" s="349">
        <v>2200</v>
      </c>
      <c r="Q1464" s="257">
        <v>100</v>
      </c>
    </row>
    <row r="1465" spans="1:17" s="30" customFormat="1" ht="31.5">
      <c r="A1465" s="8" t="s">
        <v>419</v>
      </c>
      <c r="B1465" s="10" t="s">
        <v>513</v>
      </c>
      <c r="C1465" s="10" t="s">
        <v>9</v>
      </c>
      <c r="D1465" s="10" t="s">
        <v>26</v>
      </c>
      <c r="E1465" s="10" t="s">
        <v>920</v>
      </c>
      <c r="F1465" s="10" t="s">
        <v>372</v>
      </c>
      <c r="G1465" s="11"/>
      <c r="H1465" s="11"/>
      <c r="I1465" s="7"/>
      <c r="J1465" s="7"/>
      <c r="K1465" s="7">
        <v>2200</v>
      </c>
      <c r="L1465" s="7">
        <f>J1465+K1465</f>
        <v>2200</v>
      </c>
      <c r="M1465" s="7"/>
      <c r="N1465" s="7">
        <v>2200</v>
      </c>
      <c r="O1465" s="7">
        <v>2200</v>
      </c>
      <c r="P1465" s="349">
        <v>2200</v>
      </c>
      <c r="Q1465" s="257">
        <v>100</v>
      </c>
    </row>
    <row r="1466" spans="1:17" s="30" customFormat="1" ht="31.5">
      <c r="A1466" s="32" t="s">
        <v>1016</v>
      </c>
      <c r="B1466" s="10" t="s">
        <v>513</v>
      </c>
      <c r="C1466" s="10" t="s">
        <v>9</v>
      </c>
      <c r="D1466" s="10" t="s">
        <v>26</v>
      </c>
      <c r="E1466" s="10" t="s">
        <v>1014</v>
      </c>
      <c r="F1466" s="10"/>
      <c r="G1466" s="11"/>
      <c r="H1466" s="11"/>
      <c r="I1466" s="7"/>
      <c r="J1466" s="7"/>
      <c r="K1466" s="7"/>
      <c r="L1466" s="7">
        <f>L1467</f>
        <v>0</v>
      </c>
      <c r="M1466" s="7">
        <f t="shared" ref="M1466:M1467" si="567">M1467</f>
        <v>3468.7</v>
      </c>
      <c r="N1466" s="7">
        <v>3468.7</v>
      </c>
      <c r="O1466" s="7">
        <v>3468.7</v>
      </c>
      <c r="P1466" s="349">
        <v>3468.6</v>
      </c>
      <c r="Q1466" s="257">
        <v>100</v>
      </c>
    </row>
    <row r="1467" spans="1:17" s="30" customFormat="1" ht="47.25">
      <c r="A1467" s="33" t="s">
        <v>1017</v>
      </c>
      <c r="B1467" s="10" t="s">
        <v>513</v>
      </c>
      <c r="C1467" s="10" t="s">
        <v>9</v>
      </c>
      <c r="D1467" s="10" t="s">
        <v>26</v>
      </c>
      <c r="E1467" s="10" t="s">
        <v>1015</v>
      </c>
      <c r="F1467" s="10"/>
      <c r="G1467" s="11"/>
      <c r="H1467" s="11"/>
      <c r="I1467" s="7"/>
      <c r="J1467" s="7"/>
      <c r="K1467" s="7"/>
      <c r="L1467" s="7">
        <f>L1468</f>
        <v>0</v>
      </c>
      <c r="M1467" s="7">
        <f t="shared" si="567"/>
        <v>3468.7</v>
      </c>
      <c r="N1467" s="7">
        <v>3468.7</v>
      </c>
      <c r="O1467" s="7">
        <v>3468.7</v>
      </c>
      <c r="P1467" s="349">
        <v>3468.6</v>
      </c>
      <c r="Q1467" s="257">
        <v>100</v>
      </c>
    </row>
    <row r="1468" spans="1:17" s="30" customFormat="1" ht="31.5">
      <c r="A1468" s="8" t="s">
        <v>419</v>
      </c>
      <c r="B1468" s="10" t="s">
        <v>513</v>
      </c>
      <c r="C1468" s="10" t="s">
        <v>9</v>
      </c>
      <c r="D1468" s="10" t="s">
        <v>26</v>
      </c>
      <c r="E1468" s="10" t="s">
        <v>1015</v>
      </c>
      <c r="F1468" s="10" t="s">
        <v>372</v>
      </c>
      <c r="G1468" s="11"/>
      <c r="H1468" s="11"/>
      <c r="I1468" s="7"/>
      <c r="J1468" s="7"/>
      <c r="K1468" s="7"/>
      <c r="L1468" s="7"/>
      <c r="M1468" s="7">
        <v>3468.7</v>
      </c>
      <c r="N1468" s="7">
        <v>3468.7</v>
      </c>
      <c r="O1468" s="7">
        <v>3468.7</v>
      </c>
      <c r="P1468" s="349">
        <v>3468.6</v>
      </c>
      <c r="Q1468" s="257">
        <v>100</v>
      </c>
    </row>
    <row r="1469" spans="1:17" s="30" customFormat="1">
      <c r="A1469" s="8" t="s">
        <v>17</v>
      </c>
      <c r="B1469" s="10" t="s">
        <v>513</v>
      </c>
      <c r="C1469" s="10" t="s">
        <v>9</v>
      </c>
      <c r="D1469" s="10" t="s">
        <v>26</v>
      </c>
      <c r="E1469" s="10" t="s">
        <v>18</v>
      </c>
      <c r="F1469" s="10"/>
      <c r="G1469" s="11"/>
      <c r="H1469" s="11">
        <f t="shared" ref="H1469:M1470" si="568">H1470</f>
        <v>0</v>
      </c>
      <c r="I1469" s="52">
        <f t="shared" si="568"/>
        <v>3000</v>
      </c>
      <c r="J1469" s="52">
        <f t="shared" si="568"/>
        <v>3000</v>
      </c>
      <c r="K1469" s="52">
        <f t="shared" si="568"/>
        <v>522</v>
      </c>
      <c r="L1469" s="52">
        <f t="shared" si="568"/>
        <v>3522</v>
      </c>
      <c r="M1469" s="52">
        <f t="shared" si="568"/>
        <v>334.8</v>
      </c>
      <c r="N1469" s="52">
        <v>3856.8</v>
      </c>
      <c r="O1469" s="52">
        <v>3856.8</v>
      </c>
      <c r="P1469" s="349">
        <v>3856.8</v>
      </c>
      <c r="Q1469" s="257">
        <v>100</v>
      </c>
    </row>
    <row r="1470" spans="1:17" s="30" customFormat="1" ht="31.5">
      <c r="A1470" s="8" t="s">
        <v>527</v>
      </c>
      <c r="B1470" s="10" t="s">
        <v>513</v>
      </c>
      <c r="C1470" s="10" t="s">
        <v>9</v>
      </c>
      <c r="D1470" s="10" t="s">
        <v>26</v>
      </c>
      <c r="E1470" s="10" t="s">
        <v>229</v>
      </c>
      <c r="F1470" s="10"/>
      <c r="G1470" s="11"/>
      <c r="H1470" s="11">
        <f t="shared" si="568"/>
        <v>0</v>
      </c>
      <c r="I1470" s="52">
        <f t="shared" si="568"/>
        <v>3000</v>
      </c>
      <c r="J1470" s="52">
        <f t="shared" si="568"/>
        <v>3000</v>
      </c>
      <c r="K1470" s="52">
        <f t="shared" si="568"/>
        <v>522</v>
      </c>
      <c r="L1470" s="52">
        <f t="shared" si="568"/>
        <v>3522</v>
      </c>
      <c r="M1470" s="52">
        <f t="shared" si="568"/>
        <v>334.8</v>
      </c>
      <c r="N1470" s="52">
        <v>3856.8</v>
      </c>
      <c r="O1470" s="52">
        <v>3856.8</v>
      </c>
      <c r="P1470" s="349">
        <v>3856.8</v>
      </c>
      <c r="Q1470" s="257">
        <v>100</v>
      </c>
    </row>
    <row r="1471" spans="1:17" s="30" customFormat="1" ht="31.5">
      <c r="A1471" s="8" t="s">
        <v>419</v>
      </c>
      <c r="B1471" s="10" t="s">
        <v>513</v>
      </c>
      <c r="C1471" s="10" t="s">
        <v>9</v>
      </c>
      <c r="D1471" s="10" t="s">
        <v>26</v>
      </c>
      <c r="E1471" s="10" t="s">
        <v>229</v>
      </c>
      <c r="F1471" s="10" t="s">
        <v>372</v>
      </c>
      <c r="G1471" s="11"/>
      <c r="H1471" s="11"/>
      <c r="I1471" s="7">
        <f>1000+2000</f>
        <v>3000</v>
      </c>
      <c r="J1471" s="7">
        <f>H1471+I1471</f>
        <v>3000</v>
      </c>
      <c r="K1471" s="7">
        <f>944.5-422.5</f>
        <v>522</v>
      </c>
      <c r="L1471" s="7">
        <f>J1471+K1471</f>
        <v>3522</v>
      </c>
      <c r="M1471" s="7">
        <v>334.8</v>
      </c>
      <c r="N1471" s="7">
        <v>3856.8</v>
      </c>
      <c r="O1471" s="7">
        <v>3856.8</v>
      </c>
      <c r="P1471" s="349">
        <v>3856.8</v>
      </c>
      <c r="Q1471" s="257">
        <v>100</v>
      </c>
    </row>
    <row r="1472" spans="1:17" s="12" customFormat="1">
      <c r="A1472" s="8" t="s">
        <v>363</v>
      </c>
      <c r="B1472" s="10" t="s">
        <v>513</v>
      </c>
      <c r="C1472" s="10" t="s">
        <v>9</v>
      </c>
      <c r="D1472" s="10" t="s">
        <v>26</v>
      </c>
      <c r="E1472" s="10" t="s">
        <v>364</v>
      </c>
      <c r="F1472" s="10"/>
      <c r="G1472" s="11">
        <v>340.3</v>
      </c>
      <c r="H1472" s="11">
        <v>13974.9</v>
      </c>
      <c r="I1472" s="7">
        <f t="shared" ref="I1472:M1472" si="569">I1473+I1475</f>
        <v>0</v>
      </c>
      <c r="J1472" s="7">
        <f t="shared" si="569"/>
        <v>13974.9</v>
      </c>
      <c r="K1472" s="7">
        <f t="shared" si="569"/>
        <v>1342.8</v>
      </c>
      <c r="L1472" s="7">
        <f t="shared" si="569"/>
        <v>15317.7</v>
      </c>
      <c r="M1472" s="7">
        <f t="shared" si="569"/>
        <v>0</v>
      </c>
      <c r="N1472" s="7">
        <v>15317.7</v>
      </c>
      <c r="O1472" s="7">
        <v>15317.7</v>
      </c>
      <c r="P1472" s="349">
        <v>15317.7</v>
      </c>
      <c r="Q1472" s="257">
        <v>100</v>
      </c>
    </row>
    <row r="1473" spans="1:17" s="12" customFormat="1" ht="63">
      <c r="A1473" s="8" t="s">
        <v>627</v>
      </c>
      <c r="B1473" s="10" t="s">
        <v>513</v>
      </c>
      <c r="C1473" s="10" t="s">
        <v>9</v>
      </c>
      <c r="D1473" s="10" t="s">
        <v>26</v>
      </c>
      <c r="E1473" s="10" t="s">
        <v>378</v>
      </c>
      <c r="F1473" s="10"/>
      <c r="G1473" s="11">
        <v>287.89999999999998</v>
      </c>
      <c r="H1473" s="11">
        <v>13922.5</v>
      </c>
      <c r="I1473" s="7">
        <f t="shared" ref="I1473:M1473" si="570">I1474</f>
        <v>0</v>
      </c>
      <c r="J1473" s="7">
        <f t="shared" si="570"/>
        <v>13922.5</v>
      </c>
      <c r="K1473" s="7">
        <f t="shared" si="570"/>
        <v>1212.5999999999999</v>
      </c>
      <c r="L1473" s="7">
        <f t="shared" si="570"/>
        <v>15135.1</v>
      </c>
      <c r="M1473" s="7">
        <f t="shared" si="570"/>
        <v>0</v>
      </c>
      <c r="N1473" s="7">
        <v>15135.1</v>
      </c>
      <c r="O1473" s="7">
        <v>15135.1</v>
      </c>
      <c r="P1473" s="349">
        <v>15135.1</v>
      </c>
      <c r="Q1473" s="257">
        <v>100</v>
      </c>
    </row>
    <row r="1474" spans="1:17" s="12" customFormat="1" ht="47.25">
      <c r="A1474" s="8" t="s">
        <v>379</v>
      </c>
      <c r="B1474" s="10" t="s">
        <v>513</v>
      </c>
      <c r="C1474" s="10" t="s">
        <v>9</v>
      </c>
      <c r="D1474" s="10" t="s">
        <v>26</v>
      </c>
      <c r="E1474" s="10" t="s">
        <v>378</v>
      </c>
      <c r="F1474" s="10" t="s">
        <v>359</v>
      </c>
      <c r="G1474" s="11">
        <v>287.89999999999998</v>
      </c>
      <c r="H1474" s="31">
        <v>13922.5</v>
      </c>
      <c r="I1474" s="7"/>
      <c r="J1474" s="7">
        <f>H1474+I1474</f>
        <v>13922.5</v>
      </c>
      <c r="K1474" s="7">
        <f>643.2+100+469.4</f>
        <v>1212.5999999999999</v>
      </c>
      <c r="L1474" s="7">
        <f>J1474+K1474</f>
        <v>15135.1</v>
      </c>
      <c r="M1474" s="7"/>
      <c r="N1474" s="7">
        <v>15135.1</v>
      </c>
      <c r="O1474" s="7">
        <v>15135.1</v>
      </c>
      <c r="P1474" s="349">
        <v>15135.1</v>
      </c>
      <c r="Q1474" s="257">
        <v>100</v>
      </c>
    </row>
    <row r="1475" spans="1:17" s="12" customFormat="1" ht="31.5">
      <c r="A1475" s="8" t="s">
        <v>628</v>
      </c>
      <c r="B1475" s="10" t="s">
        <v>513</v>
      </c>
      <c r="C1475" s="10" t="s">
        <v>9</v>
      </c>
      <c r="D1475" s="10" t="s">
        <v>26</v>
      </c>
      <c r="E1475" s="10" t="s">
        <v>498</v>
      </c>
      <c r="F1475" s="10"/>
      <c r="G1475" s="11">
        <v>52.4</v>
      </c>
      <c r="H1475" s="31">
        <v>52.4</v>
      </c>
      <c r="I1475" s="7">
        <f t="shared" ref="I1475:M1475" si="571">I1476</f>
        <v>0</v>
      </c>
      <c r="J1475" s="7">
        <f t="shared" si="571"/>
        <v>52.4</v>
      </c>
      <c r="K1475" s="7">
        <f t="shared" si="571"/>
        <v>130.19999999999999</v>
      </c>
      <c r="L1475" s="7">
        <f t="shared" si="571"/>
        <v>182.6</v>
      </c>
      <c r="M1475" s="7">
        <f t="shared" si="571"/>
        <v>0</v>
      </c>
      <c r="N1475" s="7">
        <v>182.6</v>
      </c>
      <c r="O1475" s="7">
        <v>182.6</v>
      </c>
      <c r="P1475" s="349">
        <v>182.6</v>
      </c>
      <c r="Q1475" s="257">
        <v>100</v>
      </c>
    </row>
    <row r="1476" spans="1:17" s="12" customFormat="1" ht="31.5">
      <c r="A1476" s="8" t="s">
        <v>419</v>
      </c>
      <c r="B1476" s="10" t="s">
        <v>513</v>
      </c>
      <c r="C1476" s="10" t="s">
        <v>9</v>
      </c>
      <c r="D1476" s="10" t="s">
        <v>26</v>
      </c>
      <c r="E1476" s="10" t="s">
        <v>498</v>
      </c>
      <c r="F1476" s="10" t="s">
        <v>372</v>
      </c>
      <c r="G1476" s="11">
        <v>52.4</v>
      </c>
      <c r="H1476" s="31">
        <v>52.4</v>
      </c>
      <c r="I1476" s="7"/>
      <c r="J1476" s="7">
        <f>H1476+I1476</f>
        <v>52.4</v>
      </c>
      <c r="K1476" s="7">
        <v>130.19999999999999</v>
      </c>
      <c r="L1476" s="7">
        <f>J1476+K1476</f>
        <v>182.6</v>
      </c>
      <c r="M1476" s="7"/>
      <c r="N1476" s="7">
        <v>182.6</v>
      </c>
      <c r="O1476" s="7">
        <v>182.6</v>
      </c>
      <c r="P1476" s="349">
        <v>182.6</v>
      </c>
      <c r="Q1476" s="257">
        <v>100</v>
      </c>
    </row>
    <row r="1477" spans="1:17" s="30" customFormat="1">
      <c r="A1477" s="26" t="s">
        <v>231</v>
      </c>
      <c r="B1477" s="27" t="s">
        <v>513</v>
      </c>
      <c r="C1477" s="27" t="s">
        <v>50</v>
      </c>
      <c r="D1477" s="73"/>
      <c r="E1477" s="73"/>
      <c r="F1477" s="27"/>
      <c r="G1477" s="28">
        <v>37349.300000000003</v>
      </c>
      <c r="H1477" s="28">
        <v>51773.8</v>
      </c>
      <c r="I1477" s="29" t="e">
        <f t="shared" ref="I1477:M1477" si="572">I1478+I1482+I1489+I1501</f>
        <v>#REF!</v>
      </c>
      <c r="J1477" s="29">
        <f t="shared" si="572"/>
        <v>60773.8</v>
      </c>
      <c r="K1477" s="29">
        <f t="shared" si="572"/>
        <v>169.8</v>
      </c>
      <c r="L1477" s="29">
        <f t="shared" si="572"/>
        <v>60943.6</v>
      </c>
      <c r="M1477" s="29">
        <f t="shared" si="572"/>
        <v>69177.899999999994</v>
      </c>
      <c r="N1477" s="29">
        <v>130121.5</v>
      </c>
      <c r="O1477" s="29">
        <v>130121.5</v>
      </c>
      <c r="P1477" s="348">
        <v>94573.8</v>
      </c>
      <c r="Q1477" s="256">
        <v>72.680000000000007</v>
      </c>
    </row>
    <row r="1478" spans="1:17" s="30" customFormat="1">
      <c r="A1478" s="26" t="s">
        <v>262</v>
      </c>
      <c r="B1478" s="27" t="s">
        <v>513</v>
      </c>
      <c r="C1478" s="27" t="s">
        <v>50</v>
      </c>
      <c r="D1478" s="27" t="s">
        <v>16</v>
      </c>
      <c r="E1478" s="73"/>
      <c r="F1478" s="27"/>
      <c r="G1478" s="28">
        <v>2636.1</v>
      </c>
      <c r="H1478" s="28">
        <v>3560</v>
      </c>
      <c r="I1478" s="29" t="e">
        <f>#REF!+I1479</f>
        <v>#REF!</v>
      </c>
      <c r="J1478" s="29">
        <f t="shared" ref="J1478:M1478" si="573">J1479</f>
        <v>3560</v>
      </c>
      <c r="K1478" s="29">
        <f t="shared" si="573"/>
        <v>-460.6</v>
      </c>
      <c r="L1478" s="29">
        <f t="shared" si="573"/>
        <v>3099.4</v>
      </c>
      <c r="M1478" s="29">
        <f t="shared" si="573"/>
        <v>0</v>
      </c>
      <c r="N1478" s="29">
        <v>3099.4</v>
      </c>
      <c r="O1478" s="29">
        <v>3099.4</v>
      </c>
      <c r="P1478" s="348">
        <v>3099.4</v>
      </c>
      <c r="Q1478" s="256">
        <v>100</v>
      </c>
    </row>
    <row r="1479" spans="1:17" s="12" customFormat="1">
      <c r="A1479" s="8" t="s">
        <v>363</v>
      </c>
      <c r="B1479" s="10" t="s">
        <v>513</v>
      </c>
      <c r="C1479" s="10" t="s">
        <v>50</v>
      </c>
      <c r="D1479" s="10" t="s">
        <v>16</v>
      </c>
      <c r="E1479" s="57" t="s">
        <v>364</v>
      </c>
      <c r="F1479" s="10"/>
      <c r="G1479" s="11"/>
      <c r="H1479" s="31">
        <f t="shared" ref="H1479:M1480" si="574">H1480</f>
        <v>0</v>
      </c>
      <c r="I1479" s="31">
        <f t="shared" si="574"/>
        <v>3560</v>
      </c>
      <c r="J1479" s="31">
        <f t="shared" si="574"/>
        <v>3560</v>
      </c>
      <c r="K1479" s="31">
        <f t="shared" si="574"/>
        <v>-460.6</v>
      </c>
      <c r="L1479" s="31">
        <f t="shared" si="574"/>
        <v>3099.4</v>
      </c>
      <c r="M1479" s="31">
        <f t="shared" si="574"/>
        <v>0</v>
      </c>
      <c r="N1479" s="31">
        <v>3099.4</v>
      </c>
      <c r="O1479" s="36">
        <v>3099.4</v>
      </c>
      <c r="P1479" s="350">
        <v>3099.4</v>
      </c>
      <c r="Q1479" s="257">
        <v>100</v>
      </c>
    </row>
    <row r="1480" spans="1:17" s="12" customFormat="1" ht="31.5">
      <c r="A1480" s="8" t="s">
        <v>793</v>
      </c>
      <c r="B1480" s="10" t="s">
        <v>513</v>
      </c>
      <c r="C1480" s="10" t="s">
        <v>50</v>
      </c>
      <c r="D1480" s="10" t="s">
        <v>16</v>
      </c>
      <c r="E1480" s="57" t="s">
        <v>792</v>
      </c>
      <c r="F1480" s="10"/>
      <c r="G1480" s="11"/>
      <c r="H1480" s="31">
        <f t="shared" si="574"/>
        <v>0</v>
      </c>
      <c r="I1480" s="31">
        <f t="shared" si="574"/>
        <v>3560</v>
      </c>
      <c r="J1480" s="31">
        <f t="shared" si="574"/>
        <v>3560</v>
      </c>
      <c r="K1480" s="31">
        <f t="shared" si="574"/>
        <v>-460.6</v>
      </c>
      <c r="L1480" s="31">
        <f t="shared" si="574"/>
        <v>3099.4</v>
      </c>
      <c r="M1480" s="31">
        <f t="shared" si="574"/>
        <v>0</v>
      </c>
      <c r="N1480" s="31">
        <v>3099.4</v>
      </c>
      <c r="O1480" s="36">
        <v>3099.4</v>
      </c>
      <c r="P1480" s="350">
        <v>3099.4</v>
      </c>
      <c r="Q1480" s="257">
        <v>100</v>
      </c>
    </row>
    <row r="1481" spans="1:17" s="12" customFormat="1">
      <c r="A1481" s="8" t="s">
        <v>367</v>
      </c>
      <c r="B1481" s="10" t="s">
        <v>513</v>
      </c>
      <c r="C1481" s="10" t="s">
        <v>50</v>
      </c>
      <c r="D1481" s="10" t="s">
        <v>16</v>
      </c>
      <c r="E1481" s="57" t="s">
        <v>792</v>
      </c>
      <c r="F1481" s="10" t="s">
        <v>365</v>
      </c>
      <c r="G1481" s="11"/>
      <c r="H1481" s="31"/>
      <c r="I1481" s="7">
        <v>3560</v>
      </c>
      <c r="J1481" s="7">
        <f>H1481+I1481</f>
        <v>3560</v>
      </c>
      <c r="K1481" s="7">
        <f>-560.6+100</f>
        <v>-460.6</v>
      </c>
      <c r="L1481" s="7">
        <f>J1481+K1481</f>
        <v>3099.4</v>
      </c>
      <c r="M1481" s="7"/>
      <c r="N1481" s="7">
        <v>3099.4</v>
      </c>
      <c r="O1481" s="7">
        <v>3099.4</v>
      </c>
      <c r="P1481" s="349">
        <v>3099.4</v>
      </c>
      <c r="Q1481" s="257">
        <v>100</v>
      </c>
    </row>
    <row r="1482" spans="1:17" s="30" customFormat="1" ht="31.5">
      <c r="A1482" s="26" t="s">
        <v>678</v>
      </c>
      <c r="B1482" s="27" t="s">
        <v>513</v>
      </c>
      <c r="C1482" s="27" t="s">
        <v>50</v>
      </c>
      <c r="D1482" s="27" t="s">
        <v>26</v>
      </c>
      <c r="E1482" s="73"/>
      <c r="F1482" s="27"/>
      <c r="G1482" s="28">
        <v>25000</v>
      </c>
      <c r="H1482" s="28">
        <v>25000</v>
      </c>
      <c r="I1482" s="29">
        <f>I1486</f>
        <v>10000</v>
      </c>
      <c r="J1482" s="29">
        <f>J1486</f>
        <v>35000</v>
      </c>
      <c r="K1482" s="29">
        <f>K1486</f>
        <v>0</v>
      </c>
      <c r="L1482" s="29">
        <f>L1486+L1483</f>
        <v>35000</v>
      </c>
      <c r="M1482" s="29">
        <f>M1486+M1483</f>
        <v>67811</v>
      </c>
      <c r="N1482" s="29">
        <v>102811</v>
      </c>
      <c r="O1482" s="29">
        <v>102811</v>
      </c>
      <c r="P1482" s="348">
        <v>67281.2</v>
      </c>
      <c r="Q1482" s="256">
        <v>65.44</v>
      </c>
    </row>
    <row r="1483" spans="1:17" s="30" customFormat="1" ht="31.5">
      <c r="A1483" s="33" t="s">
        <v>1018</v>
      </c>
      <c r="B1483" s="37" t="s">
        <v>513</v>
      </c>
      <c r="C1483" s="37" t="s">
        <v>50</v>
      </c>
      <c r="D1483" s="37" t="s">
        <v>26</v>
      </c>
      <c r="E1483" s="82" t="s">
        <v>1019</v>
      </c>
      <c r="F1483" s="37"/>
      <c r="G1483" s="28"/>
      <c r="H1483" s="28"/>
      <c r="I1483" s="29"/>
      <c r="J1483" s="29"/>
      <c r="K1483" s="29"/>
      <c r="L1483" s="7">
        <f>L1484</f>
        <v>0</v>
      </c>
      <c r="M1483" s="7">
        <f t="shared" ref="M1483:M1484" si="575">M1484</f>
        <v>57500</v>
      </c>
      <c r="N1483" s="7">
        <v>57500</v>
      </c>
      <c r="O1483" s="7">
        <v>57500</v>
      </c>
      <c r="P1483" s="349">
        <v>32327.1</v>
      </c>
      <c r="Q1483" s="257">
        <v>56.22</v>
      </c>
    </row>
    <row r="1484" spans="1:17" s="30" customFormat="1" ht="47.25">
      <c r="A1484" s="33" t="s">
        <v>1020</v>
      </c>
      <c r="B1484" s="37" t="s">
        <v>513</v>
      </c>
      <c r="C1484" s="37" t="s">
        <v>50</v>
      </c>
      <c r="D1484" s="37" t="s">
        <v>26</v>
      </c>
      <c r="E1484" s="82" t="s">
        <v>1021</v>
      </c>
      <c r="F1484" s="37"/>
      <c r="G1484" s="28"/>
      <c r="H1484" s="28"/>
      <c r="I1484" s="29"/>
      <c r="J1484" s="29"/>
      <c r="K1484" s="29"/>
      <c r="L1484" s="7">
        <f>L1485</f>
        <v>0</v>
      </c>
      <c r="M1484" s="7">
        <f t="shared" si="575"/>
        <v>57500</v>
      </c>
      <c r="N1484" s="7">
        <v>57500</v>
      </c>
      <c r="O1484" s="7">
        <v>57500</v>
      </c>
      <c r="P1484" s="349">
        <v>32327.1</v>
      </c>
      <c r="Q1484" s="257">
        <v>56.22</v>
      </c>
    </row>
    <row r="1485" spans="1:17" s="30" customFormat="1" ht="47.25">
      <c r="A1485" s="9" t="s">
        <v>1022</v>
      </c>
      <c r="B1485" s="37" t="s">
        <v>513</v>
      </c>
      <c r="C1485" s="37" t="s">
        <v>50</v>
      </c>
      <c r="D1485" s="37" t="s">
        <v>26</v>
      </c>
      <c r="E1485" s="82" t="s">
        <v>1021</v>
      </c>
      <c r="F1485" s="37" t="s">
        <v>690</v>
      </c>
      <c r="G1485" s="28"/>
      <c r="H1485" s="28"/>
      <c r="I1485" s="29"/>
      <c r="J1485" s="29"/>
      <c r="K1485" s="29"/>
      <c r="L1485" s="7"/>
      <c r="M1485" s="7">
        <v>57500</v>
      </c>
      <c r="N1485" s="7">
        <v>57500</v>
      </c>
      <c r="O1485" s="7">
        <v>57500</v>
      </c>
      <c r="P1485" s="349">
        <v>32327.1</v>
      </c>
      <c r="Q1485" s="257">
        <v>56.22</v>
      </c>
    </row>
    <row r="1486" spans="1:17" s="12" customFormat="1">
      <c r="A1486" s="8" t="s">
        <v>17</v>
      </c>
      <c r="B1486" s="10" t="s">
        <v>513</v>
      </c>
      <c r="C1486" s="10" t="s">
        <v>50</v>
      </c>
      <c r="D1486" s="10" t="s">
        <v>26</v>
      </c>
      <c r="E1486" s="57" t="s">
        <v>18</v>
      </c>
      <c r="F1486" s="10"/>
      <c r="G1486" s="11">
        <v>25000</v>
      </c>
      <c r="H1486" s="31">
        <v>25000</v>
      </c>
      <c r="I1486" s="7">
        <f t="shared" ref="I1486:M1487" si="576">I1487</f>
        <v>10000</v>
      </c>
      <c r="J1486" s="7">
        <f t="shared" si="576"/>
        <v>35000</v>
      </c>
      <c r="K1486" s="7">
        <f t="shared" si="576"/>
        <v>0</v>
      </c>
      <c r="L1486" s="7">
        <f t="shared" si="576"/>
        <v>35000</v>
      </c>
      <c r="M1486" s="7">
        <f t="shared" si="576"/>
        <v>10311</v>
      </c>
      <c r="N1486" s="7">
        <v>45311</v>
      </c>
      <c r="O1486" s="7">
        <v>45311</v>
      </c>
      <c r="P1486" s="349">
        <v>34954.1</v>
      </c>
      <c r="Q1486" s="257">
        <v>77.14</v>
      </c>
    </row>
    <row r="1487" spans="1:17" s="12" customFormat="1" ht="31.5">
      <c r="A1487" s="8" t="s">
        <v>527</v>
      </c>
      <c r="B1487" s="10" t="s">
        <v>513</v>
      </c>
      <c r="C1487" s="10" t="s">
        <v>50</v>
      </c>
      <c r="D1487" s="10" t="s">
        <v>26</v>
      </c>
      <c r="E1487" s="57" t="s">
        <v>229</v>
      </c>
      <c r="F1487" s="10"/>
      <c r="G1487" s="11">
        <v>25000</v>
      </c>
      <c r="H1487" s="31">
        <v>25000</v>
      </c>
      <c r="I1487" s="7">
        <f t="shared" si="576"/>
        <v>10000</v>
      </c>
      <c r="J1487" s="7">
        <f t="shared" si="576"/>
        <v>35000</v>
      </c>
      <c r="K1487" s="7">
        <f t="shared" si="576"/>
        <v>0</v>
      </c>
      <c r="L1487" s="7">
        <f t="shared" si="576"/>
        <v>35000</v>
      </c>
      <c r="M1487" s="7">
        <f t="shared" si="576"/>
        <v>10311</v>
      </c>
      <c r="N1487" s="7">
        <v>45311</v>
      </c>
      <c r="O1487" s="7">
        <v>45311</v>
      </c>
      <c r="P1487" s="349">
        <v>34954.1</v>
      </c>
      <c r="Q1487" s="257">
        <v>77.14</v>
      </c>
    </row>
    <row r="1488" spans="1:17" s="12" customFormat="1" ht="31.5">
      <c r="A1488" s="8" t="s">
        <v>691</v>
      </c>
      <c r="B1488" s="10" t="s">
        <v>513</v>
      </c>
      <c r="C1488" s="10" t="s">
        <v>50</v>
      </c>
      <c r="D1488" s="10" t="s">
        <v>26</v>
      </c>
      <c r="E1488" s="57" t="s">
        <v>229</v>
      </c>
      <c r="F1488" s="10" t="s">
        <v>690</v>
      </c>
      <c r="G1488" s="11">
        <v>25000</v>
      </c>
      <c r="H1488" s="31">
        <v>25000</v>
      </c>
      <c r="I1488" s="7">
        <v>10000</v>
      </c>
      <c r="J1488" s="7">
        <f>H1488+I1488</f>
        <v>35000</v>
      </c>
      <c r="K1488" s="7"/>
      <c r="L1488" s="7">
        <f>J1488+K1488</f>
        <v>35000</v>
      </c>
      <c r="M1488" s="7">
        <f>10300+11</f>
        <v>10311</v>
      </c>
      <c r="N1488" s="7">
        <v>45311</v>
      </c>
      <c r="O1488" s="7">
        <v>45311</v>
      </c>
      <c r="P1488" s="349">
        <v>34954.1</v>
      </c>
      <c r="Q1488" s="257">
        <v>77.14</v>
      </c>
    </row>
    <row r="1489" spans="1:17" s="30" customFormat="1">
      <c r="A1489" s="26" t="s">
        <v>263</v>
      </c>
      <c r="B1489" s="27" t="s">
        <v>513</v>
      </c>
      <c r="C1489" s="27" t="s">
        <v>50</v>
      </c>
      <c r="D1489" s="27" t="s">
        <v>28</v>
      </c>
      <c r="E1489" s="73"/>
      <c r="F1489" s="27"/>
      <c r="G1489" s="28">
        <v>3379.3</v>
      </c>
      <c r="H1489" s="28">
        <v>12155.7</v>
      </c>
      <c r="I1489" s="29" t="e">
        <f>I1493+I1496</f>
        <v>#REF!</v>
      </c>
      <c r="J1489" s="29">
        <f>J1493+J1496</f>
        <v>12155.7</v>
      </c>
      <c r="K1489" s="29">
        <f>K1493+K1496</f>
        <v>710.6</v>
      </c>
      <c r="L1489" s="29">
        <f>L1493+L1496+L1490</f>
        <v>12866.3</v>
      </c>
      <c r="M1489" s="29">
        <f>M1493+M1496+M1490</f>
        <v>1616.9</v>
      </c>
      <c r="N1489" s="29">
        <v>14483.2</v>
      </c>
      <c r="O1489" s="29">
        <v>14483.2</v>
      </c>
      <c r="P1489" s="348">
        <v>14483.2</v>
      </c>
      <c r="Q1489" s="256">
        <v>100</v>
      </c>
    </row>
    <row r="1490" spans="1:17" s="30" customFormat="1" ht="31.5">
      <c r="A1490" s="33" t="s">
        <v>1016</v>
      </c>
      <c r="B1490" s="10" t="s">
        <v>513</v>
      </c>
      <c r="C1490" s="10" t="s">
        <v>50</v>
      </c>
      <c r="D1490" s="10" t="s">
        <v>28</v>
      </c>
      <c r="E1490" s="10" t="s">
        <v>1014</v>
      </c>
      <c r="F1490" s="27"/>
      <c r="G1490" s="28"/>
      <c r="H1490" s="28"/>
      <c r="I1490" s="29"/>
      <c r="J1490" s="29"/>
      <c r="K1490" s="29"/>
      <c r="L1490" s="7">
        <f>L1491</f>
        <v>0</v>
      </c>
      <c r="M1490" s="7">
        <f t="shared" ref="M1490:M1491" si="577">M1491</f>
        <v>1261.3</v>
      </c>
      <c r="N1490" s="7">
        <v>1261.3</v>
      </c>
      <c r="O1490" s="7">
        <v>1261.3</v>
      </c>
      <c r="P1490" s="349">
        <v>1261.3</v>
      </c>
      <c r="Q1490" s="257">
        <v>100</v>
      </c>
    </row>
    <row r="1491" spans="1:17" s="30" customFormat="1" ht="47.25">
      <c r="A1491" s="33" t="s">
        <v>1017</v>
      </c>
      <c r="B1491" s="10" t="s">
        <v>513</v>
      </c>
      <c r="C1491" s="10" t="s">
        <v>50</v>
      </c>
      <c r="D1491" s="10" t="s">
        <v>28</v>
      </c>
      <c r="E1491" s="10" t="s">
        <v>1015</v>
      </c>
      <c r="F1491" s="27"/>
      <c r="G1491" s="28"/>
      <c r="H1491" s="28"/>
      <c r="I1491" s="29"/>
      <c r="J1491" s="29"/>
      <c r="K1491" s="29"/>
      <c r="L1491" s="7">
        <f>L1492</f>
        <v>0</v>
      </c>
      <c r="M1491" s="7">
        <f t="shared" si="577"/>
        <v>1261.3</v>
      </c>
      <c r="N1491" s="7">
        <v>1261.3</v>
      </c>
      <c r="O1491" s="7">
        <v>1261.3</v>
      </c>
      <c r="P1491" s="349">
        <v>1261.3</v>
      </c>
      <c r="Q1491" s="257">
        <v>100</v>
      </c>
    </row>
    <row r="1492" spans="1:17" s="30" customFormat="1">
      <c r="A1492" s="8" t="s">
        <v>367</v>
      </c>
      <c r="B1492" s="10" t="s">
        <v>513</v>
      </c>
      <c r="C1492" s="10" t="s">
        <v>50</v>
      </c>
      <c r="D1492" s="10" t="s">
        <v>28</v>
      </c>
      <c r="E1492" s="10" t="s">
        <v>1015</v>
      </c>
      <c r="F1492" s="10" t="s">
        <v>365</v>
      </c>
      <c r="G1492" s="28"/>
      <c r="H1492" s="28"/>
      <c r="I1492" s="29"/>
      <c r="J1492" s="29"/>
      <c r="K1492" s="29"/>
      <c r="L1492" s="7"/>
      <c r="M1492" s="7">
        <v>1261.3</v>
      </c>
      <c r="N1492" s="7">
        <v>1261.3</v>
      </c>
      <c r="O1492" s="7">
        <v>1261.3</v>
      </c>
      <c r="P1492" s="349">
        <v>1261.3</v>
      </c>
      <c r="Q1492" s="257">
        <v>100</v>
      </c>
    </row>
    <row r="1493" spans="1:17" s="12" customFormat="1">
      <c r="A1493" s="8" t="s">
        <v>17</v>
      </c>
      <c r="B1493" s="10" t="s">
        <v>513</v>
      </c>
      <c r="C1493" s="10" t="s">
        <v>50</v>
      </c>
      <c r="D1493" s="10" t="s">
        <v>28</v>
      </c>
      <c r="E1493" s="10" t="s">
        <v>18</v>
      </c>
      <c r="F1493" s="10"/>
      <c r="G1493" s="11">
        <v>140</v>
      </c>
      <c r="H1493" s="31">
        <v>140</v>
      </c>
      <c r="I1493" s="7">
        <f t="shared" ref="I1493:M1494" si="578">I1494</f>
        <v>0</v>
      </c>
      <c r="J1493" s="7">
        <f t="shared" si="578"/>
        <v>140</v>
      </c>
      <c r="K1493" s="7">
        <f t="shared" si="578"/>
        <v>0</v>
      </c>
      <c r="L1493" s="7">
        <f t="shared" si="578"/>
        <v>140</v>
      </c>
      <c r="M1493" s="7">
        <f t="shared" si="578"/>
        <v>0</v>
      </c>
      <c r="N1493" s="7">
        <v>140</v>
      </c>
      <c r="O1493" s="7">
        <v>140</v>
      </c>
      <c r="P1493" s="349">
        <v>140</v>
      </c>
      <c r="Q1493" s="257">
        <v>100</v>
      </c>
    </row>
    <row r="1494" spans="1:17" s="12" customFormat="1" ht="78.75">
      <c r="A1494" s="8" t="s">
        <v>528</v>
      </c>
      <c r="B1494" s="10" t="s">
        <v>513</v>
      </c>
      <c r="C1494" s="10" t="s">
        <v>50</v>
      </c>
      <c r="D1494" s="10" t="s">
        <v>28</v>
      </c>
      <c r="E1494" s="10" t="s">
        <v>328</v>
      </c>
      <c r="F1494" s="10"/>
      <c r="G1494" s="11">
        <v>140</v>
      </c>
      <c r="H1494" s="31">
        <v>140</v>
      </c>
      <c r="I1494" s="7">
        <f t="shared" si="578"/>
        <v>0</v>
      </c>
      <c r="J1494" s="7">
        <f t="shared" si="578"/>
        <v>140</v>
      </c>
      <c r="K1494" s="7">
        <f t="shared" si="578"/>
        <v>0</v>
      </c>
      <c r="L1494" s="7">
        <f t="shared" si="578"/>
        <v>140</v>
      </c>
      <c r="M1494" s="7">
        <f t="shared" si="578"/>
        <v>0</v>
      </c>
      <c r="N1494" s="7">
        <v>140</v>
      </c>
      <c r="O1494" s="7">
        <v>140</v>
      </c>
      <c r="P1494" s="349">
        <v>140</v>
      </c>
      <c r="Q1494" s="257">
        <v>100</v>
      </c>
    </row>
    <row r="1495" spans="1:17" s="12" customFormat="1">
      <c r="A1495" s="8" t="s">
        <v>367</v>
      </c>
      <c r="B1495" s="10" t="s">
        <v>513</v>
      </c>
      <c r="C1495" s="10" t="s">
        <v>50</v>
      </c>
      <c r="D1495" s="10" t="s">
        <v>28</v>
      </c>
      <c r="E1495" s="10" t="s">
        <v>328</v>
      </c>
      <c r="F1495" s="10" t="s">
        <v>365</v>
      </c>
      <c r="G1495" s="11">
        <v>140</v>
      </c>
      <c r="H1495" s="31">
        <v>140</v>
      </c>
      <c r="I1495" s="7"/>
      <c r="J1495" s="7">
        <f>H1495+I1495</f>
        <v>140</v>
      </c>
      <c r="K1495" s="7"/>
      <c r="L1495" s="7">
        <f>J1495+K1495</f>
        <v>140</v>
      </c>
      <c r="M1495" s="7"/>
      <c r="N1495" s="7">
        <v>140</v>
      </c>
      <c r="O1495" s="7">
        <v>140</v>
      </c>
      <c r="P1495" s="349">
        <v>140</v>
      </c>
      <c r="Q1495" s="257">
        <v>100</v>
      </c>
    </row>
    <row r="1496" spans="1:17" s="12" customFormat="1">
      <c r="A1496" s="8" t="s">
        <v>363</v>
      </c>
      <c r="B1496" s="10" t="s">
        <v>513</v>
      </c>
      <c r="C1496" s="10" t="s">
        <v>50</v>
      </c>
      <c r="D1496" s="10" t="s">
        <v>28</v>
      </c>
      <c r="E1496" s="10" t="s">
        <v>364</v>
      </c>
      <c r="F1496" s="10"/>
      <c r="G1496" s="11">
        <v>3239.3</v>
      </c>
      <c r="H1496" s="11">
        <v>12015.7</v>
      </c>
      <c r="I1496" s="7" t="e">
        <f t="shared" ref="I1496:M1496" si="579">I1497+I1499</f>
        <v>#REF!</v>
      </c>
      <c r="J1496" s="7">
        <f t="shared" si="579"/>
        <v>12015.7</v>
      </c>
      <c r="K1496" s="7">
        <f t="shared" si="579"/>
        <v>710.6</v>
      </c>
      <c r="L1496" s="7">
        <f t="shared" si="579"/>
        <v>12726.3</v>
      </c>
      <c r="M1496" s="7">
        <f t="shared" si="579"/>
        <v>355.6</v>
      </c>
      <c r="N1496" s="7">
        <v>13081.9</v>
      </c>
      <c r="O1496" s="7">
        <v>13081.9</v>
      </c>
      <c r="P1496" s="349">
        <v>13081.9</v>
      </c>
      <c r="Q1496" s="257">
        <v>100</v>
      </c>
    </row>
    <row r="1497" spans="1:17" s="12" customFormat="1" ht="31.5">
      <c r="A1497" s="8" t="s">
        <v>628</v>
      </c>
      <c r="B1497" s="10" t="s">
        <v>513</v>
      </c>
      <c r="C1497" s="10" t="s">
        <v>50</v>
      </c>
      <c r="D1497" s="10" t="s">
        <v>28</v>
      </c>
      <c r="E1497" s="10" t="s">
        <v>498</v>
      </c>
      <c r="F1497" s="10"/>
      <c r="G1497" s="11">
        <v>-4743.6000000000004</v>
      </c>
      <c r="H1497" s="11">
        <v>4032.8</v>
      </c>
      <c r="I1497" s="7" t="e">
        <f>#REF!+I1498</f>
        <v>#REF!</v>
      </c>
      <c r="J1497" s="7">
        <f t="shared" ref="J1497:M1497" si="580">J1498</f>
        <v>4032.8</v>
      </c>
      <c r="K1497" s="7">
        <f t="shared" si="580"/>
        <v>0</v>
      </c>
      <c r="L1497" s="7">
        <f t="shared" si="580"/>
        <v>4032.8</v>
      </c>
      <c r="M1497" s="7">
        <f t="shared" si="580"/>
        <v>0</v>
      </c>
      <c r="N1497" s="7">
        <v>4032.8</v>
      </c>
      <c r="O1497" s="7">
        <v>4032.8</v>
      </c>
      <c r="P1497" s="349">
        <v>4032.8</v>
      </c>
      <c r="Q1497" s="257">
        <v>100</v>
      </c>
    </row>
    <row r="1498" spans="1:17" s="12" customFormat="1">
      <c r="A1498" s="8" t="s">
        <v>367</v>
      </c>
      <c r="B1498" s="10" t="s">
        <v>513</v>
      </c>
      <c r="C1498" s="10" t="s">
        <v>50</v>
      </c>
      <c r="D1498" s="10" t="s">
        <v>28</v>
      </c>
      <c r="E1498" s="10" t="s">
        <v>498</v>
      </c>
      <c r="F1498" s="10" t="s">
        <v>365</v>
      </c>
      <c r="G1498" s="11">
        <v>4032.8</v>
      </c>
      <c r="H1498" s="31">
        <v>4032.8</v>
      </c>
      <c r="I1498" s="7"/>
      <c r="J1498" s="7">
        <f>H1498+I1498</f>
        <v>4032.8</v>
      </c>
      <c r="K1498" s="7"/>
      <c r="L1498" s="7">
        <f>J1498+K1498</f>
        <v>4032.8</v>
      </c>
      <c r="M1498" s="7"/>
      <c r="N1498" s="7">
        <v>4032.8</v>
      </c>
      <c r="O1498" s="7">
        <v>4032.8</v>
      </c>
      <c r="P1498" s="349">
        <v>4032.8</v>
      </c>
      <c r="Q1498" s="257">
        <v>100</v>
      </c>
    </row>
    <row r="1499" spans="1:17" s="12" customFormat="1" ht="78.75">
      <c r="A1499" s="8" t="s">
        <v>825</v>
      </c>
      <c r="B1499" s="10" t="s">
        <v>513</v>
      </c>
      <c r="C1499" s="10" t="s">
        <v>50</v>
      </c>
      <c r="D1499" s="10" t="s">
        <v>28</v>
      </c>
      <c r="E1499" s="10" t="s">
        <v>723</v>
      </c>
      <c r="F1499" s="10"/>
      <c r="G1499" s="11">
        <v>7982.9</v>
      </c>
      <c r="H1499" s="11">
        <v>7982.9</v>
      </c>
      <c r="I1499" s="7">
        <f t="shared" ref="I1499:M1499" si="581">I1500</f>
        <v>0</v>
      </c>
      <c r="J1499" s="7">
        <f t="shared" si="581"/>
        <v>7982.9</v>
      </c>
      <c r="K1499" s="7">
        <f t="shared" si="581"/>
        <v>710.6</v>
      </c>
      <c r="L1499" s="7">
        <f t="shared" si="581"/>
        <v>8693.5</v>
      </c>
      <c r="M1499" s="7">
        <f t="shared" si="581"/>
        <v>355.6</v>
      </c>
      <c r="N1499" s="7">
        <v>9049.1</v>
      </c>
      <c r="O1499" s="7">
        <v>9049.1</v>
      </c>
      <c r="P1499" s="349">
        <v>9049.1</v>
      </c>
      <c r="Q1499" s="257">
        <v>100</v>
      </c>
    </row>
    <row r="1500" spans="1:17" s="12" customFormat="1" ht="63">
      <c r="A1500" s="8" t="s">
        <v>377</v>
      </c>
      <c r="B1500" s="10" t="s">
        <v>513</v>
      </c>
      <c r="C1500" s="10" t="s">
        <v>50</v>
      </c>
      <c r="D1500" s="10" t="s">
        <v>28</v>
      </c>
      <c r="E1500" s="10" t="s">
        <v>723</v>
      </c>
      <c r="F1500" s="10" t="s">
        <v>355</v>
      </c>
      <c r="G1500" s="11">
        <v>7982.9</v>
      </c>
      <c r="H1500" s="31">
        <v>7982.9</v>
      </c>
      <c r="I1500" s="7"/>
      <c r="J1500" s="7">
        <f>H1500+I1500</f>
        <v>7982.9</v>
      </c>
      <c r="K1500" s="7">
        <f>560.6+150</f>
        <v>710.6</v>
      </c>
      <c r="L1500" s="7">
        <f>J1500+K1500</f>
        <v>8693.5</v>
      </c>
      <c r="M1500" s="7">
        <f>160+90+105.6</f>
        <v>355.6</v>
      </c>
      <c r="N1500" s="7">
        <v>9049.1</v>
      </c>
      <c r="O1500" s="7">
        <v>9049.1</v>
      </c>
      <c r="P1500" s="349">
        <v>9049.1</v>
      </c>
      <c r="Q1500" s="257">
        <v>100</v>
      </c>
    </row>
    <row r="1501" spans="1:17" s="30" customFormat="1">
      <c r="A1501" s="26" t="s">
        <v>264</v>
      </c>
      <c r="B1501" s="27" t="s">
        <v>513</v>
      </c>
      <c r="C1501" s="27" t="s">
        <v>50</v>
      </c>
      <c r="D1501" s="27" t="s">
        <v>31</v>
      </c>
      <c r="E1501" s="73"/>
      <c r="F1501" s="27"/>
      <c r="G1501" s="28">
        <v>6333.9</v>
      </c>
      <c r="H1501" s="28">
        <v>11058.1</v>
      </c>
      <c r="I1501" s="29">
        <f t="shared" ref="I1501:M1501" si="582">I1502+I1510+I1515</f>
        <v>-1000</v>
      </c>
      <c r="J1501" s="29">
        <f t="shared" si="582"/>
        <v>10058.1</v>
      </c>
      <c r="K1501" s="29">
        <f t="shared" si="582"/>
        <v>-80.2</v>
      </c>
      <c r="L1501" s="29">
        <f t="shared" si="582"/>
        <v>9977.9</v>
      </c>
      <c r="M1501" s="29">
        <f t="shared" si="582"/>
        <v>-250</v>
      </c>
      <c r="N1501" s="29">
        <v>9727.9</v>
      </c>
      <c r="O1501" s="29">
        <v>9727.9</v>
      </c>
      <c r="P1501" s="348">
        <v>9710</v>
      </c>
      <c r="Q1501" s="256">
        <v>99.82</v>
      </c>
    </row>
    <row r="1502" spans="1:17" s="12" customFormat="1" ht="47.25">
      <c r="A1502" s="8" t="s">
        <v>65</v>
      </c>
      <c r="B1502" s="10" t="s">
        <v>513</v>
      </c>
      <c r="C1502" s="10" t="s">
        <v>50</v>
      </c>
      <c r="D1502" s="10" t="s">
        <v>31</v>
      </c>
      <c r="E1502" s="41" t="s">
        <v>41</v>
      </c>
      <c r="F1502" s="57"/>
      <c r="G1502" s="11">
        <v>-217.3</v>
      </c>
      <c r="H1502" s="11">
        <v>4506.8999999999996</v>
      </c>
      <c r="I1502" s="7">
        <f t="shared" ref="I1502:M1502" si="583">I1503</f>
        <v>0</v>
      </c>
      <c r="J1502" s="7">
        <f t="shared" si="583"/>
        <v>4506.8999999999996</v>
      </c>
      <c r="K1502" s="7">
        <f t="shared" si="583"/>
        <v>0</v>
      </c>
      <c r="L1502" s="7">
        <f t="shared" si="583"/>
        <v>4506.8999999999996</v>
      </c>
      <c r="M1502" s="7">
        <f t="shared" si="583"/>
        <v>-90</v>
      </c>
      <c r="N1502" s="7">
        <v>4416.8999999999996</v>
      </c>
      <c r="O1502" s="7">
        <v>4416.8999999999996</v>
      </c>
      <c r="P1502" s="349">
        <v>4405.7</v>
      </c>
      <c r="Q1502" s="257">
        <v>99.75</v>
      </c>
    </row>
    <row r="1503" spans="1:17" s="12" customFormat="1">
      <c r="A1503" s="8" t="s">
        <v>42</v>
      </c>
      <c r="B1503" s="10" t="s">
        <v>513</v>
      </c>
      <c r="C1503" s="10" t="s">
        <v>50</v>
      </c>
      <c r="D1503" s="10" t="s">
        <v>31</v>
      </c>
      <c r="E1503" s="41" t="s">
        <v>43</v>
      </c>
      <c r="F1503" s="57"/>
      <c r="G1503" s="11">
        <v>-217.3</v>
      </c>
      <c r="H1503" s="11">
        <v>4506.8999999999996</v>
      </c>
      <c r="I1503" s="7">
        <f t="shared" ref="I1503:M1503" si="584">I1504+I1505+I1506+I1507+I1508+I1509</f>
        <v>0</v>
      </c>
      <c r="J1503" s="7">
        <f t="shared" si="584"/>
        <v>4506.8999999999996</v>
      </c>
      <c r="K1503" s="7">
        <f t="shared" si="584"/>
        <v>0</v>
      </c>
      <c r="L1503" s="7">
        <f t="shared" si="584"/>
        <v>4506.8999999999996</v>
      </c>
      <c r="M1503" s="7">
        <f t="shared" si="584"/>
        <v>-90</v>
      </c>
      <c r="N1503" s="7">
        <v>4416.8999999999996</v>
      </c>
      <c r="O1503" s="7">
        <v>4416.8999999999996</v>
      </c>
      <c r="P1503" s="349">
        <v>4405.7</v>
      </c>
      <c r="Q1503" s="257">
        <v>99.75</v>
      </c>
    </row>
    <row r="1504" spans="1:17" s="12" customFormat="1">
      <c r="A1504" s="8" t="s">
        <v>337</v>
      </c>
      <c r="B1504" s="10" t="s">
        <v>513</v>
      </c>
      <c r="C1504" s="10" t="s">
        <v>50</v>
      </c>
      <c r="D1504" s="10" t="s">
        <v>31</v>
      </c>
      <c r="E1504" s="41" t="s">
        <v>43</v>
      </c>
      <c r="F1504" s="10" t="s">
        <v>331</v>
      </c>
      <c r="G1504" s="11">
        <v>-64</v>
      </c>
      <c r="H1504" s="31">
        <v>3724.2</v>
      </c>
      <c r="I1504" s="7"/>
      <c r="J1504" s="7">
        <f t="shared" ref="J1504:J1509" si="585">H1504+I1504</f>
        <v>3724.2</v>
      </c>
      <c r="K1504" s="7"/>
      <c r="L1504" s="7">
        <f t="shared" ref="L1504:L1509" si="586">J1504+K1504</f>
        <v>3724.2</v>
      </c>
      <c r="M1504" s="7">
        <v>-100</v>
      </c>
      <c r="N1504" s="7">
        <v>3624.2</v>
      </c>
      <c r="O1504" s="7">
        <v>3624.2</v>
      </c>
      <c r="P1504" s="349">
        <v>3622.1</v>
      </c>
      <c r="Q1504" s="257">
        <v>99.94</v>
      </c>
    </row>
    <row r="1505" spans="1:17" s="12" customFormat="1">
      <c r="A1505" s="8" t="s">
        <v>383</v>
      </c>
      <c r="B1505" s="10" t="s">
        <v>513</v>
      </c>
      <c r="C1505" s="10" t="s">
        <v>50</v>
      </c>
      <c r="D1505" s="10" t="s">
        <v>31</v>
      </c>
      <c r="E1505" s="41" t="s">
        <v>43</v>
      </c>
      <c r="F1505" s="10" t="s">
        <v>332</v>
      </c>
      <c r="G1505" s="11">
        <v>-115</v>
      </c>
      <c r="H1505" s="31">
        <v>85</v>
      </c>
      <c r="I1505" s="7"/>
      <c r="J1505" s="7">
        <f t="shared" si="585"/>
        <v>85</v>
      </c>
      <c r="K1505" s="7"/>
      <c r="L1505" s="7">
        <f t="shared" si="586"/>
        <v>85</v>
      </c>
      <c r="M1505" s="7"/>
      <c r="N1505" s="7">
        <v>85</v>
      </c>
      <c r="O1505" s="7">
        <v>85</v>
      </c>
      <c r="P1505" s="349">
        <v>83.2</v>
      </c>
      <c r="Q1505" s="257">
        <v>97.88</v>
      </c>
    </row>
    <row r="1506" spans="1:17" s="12" customFormat="1" ht="31.5">
      <c r="A1506" s="8" t="s">
        <v>361</v>
      </c>
      <c r="B1506" s="10" t="s">
        <v>513</v>
      </c>
      <c r="C1506" s="10" t="s">
        <v>50</v>
      </c>
      <c r="D1506" s="10" t="s">
        <v>31</v>
      </c>
      <c r="E1506" s="41" t="s">
        <v>43</v>
      </c>
      <c r="F1506" s="10" t="s">
        <v>333</v>
      </c>
      <c r="G1506" s="11">
        <v>-90.7</v>
      </c>
      <c r="H1506" s="31">
        <v>243</v>
      </c>
      <c r="I1506" s="7"/>
      <c r="J1506" s="7">
        <f t="shared" si="585"/>
        <v>243</v>
      </c>
      <c r="K1506" s="7">
        <v>-10</v>
      </c>
      <c r="L1506" s="7">
        <f t="shared" si="586"/>
        <v>233</v>
      </c>
      <c r="M1506" s="7"/>
      <c r="N1506" s="7">
        <v>233</v>
      </c>
      <c r="O1506" s="7">
        <v>233</v>
      </c>
      <c r="P1506" s="349">
        <v>233</v>
      </c>
      <c r="Q1506" s="257">
        <v>100</v>
      </c>
    </row>
    <row r="1507" spans="1:17" s="12" customFormat="1">
      <c r="A1507" s="8" t="s">
        <v>362</v>
      </c>
      <c r="B1507" s="10" t="s">
        <v>513</v>
      </c>
      <c r="C1507" s="10" t="s">
        <v>50</v>
      </c>
      <c r="D1507" s="10" t="s">
        <v>31</v>
      </c>
      <c r="E1507" s="41" t="s">
        <v>43</v>
      </c>
      <c r="F1507" s="10" t="s">
        <v>334</v>
      </c>
      <c r="G1507" s="11">
        <v>53.3</v>
      </c>
      <c r="H1507" s="31">
        <v>425.8</v>
      </c>
      <c r="I1507" s="7"/>
      <c r="J1507" s="7">
        <f t="shared" si="585"/>
        <v>425.8</v>
      </c>
      <c r="K1507" s="7">
        <f>-5+10</f>
        <v>5</v>
      </c>
      <c r="L1507" s="7">
        <f t="shared" si="586"/>
        <v>430.8</v>
      </c>
      <c r="M1507" s="7">
        <v>10</v>
      </c>
      <c r="N1507" s="7">
        <v>440.8</v>
      </c>
      <c r="O1507" s="7">
        <v>440.8</v>
      </c>
      <c r="P1507" s="349">
        <v>433.5</v>
      </c>
      <c r="Q1507" s="257">
        <v>98.34</v>
      </c>
    </row>
    <row r="1508" spans="1:17" s="12" customFormat="1">
      <c r="A1508" s="8" t="s">
        <v>384</v>
      </c>
      <c r="B1508" s="10" t="s">
        <v>513</v>
      </c>
      <c r="C1508" s="10" t="s">
        <v>50</v>
      </c>
      <c r="D1508" s="10" t="s">
        <v>31</v>
      </c>
      <c r="E1508" s="41" t="s">
        <v>43</v>
      </c>
      <c r="F1508" s="10" t="s">
        <v>335</v>
      </c>
      <c r="G1508" s="11">
        <v>-4.3</v>
      </c>
      <c r="H1508" s="31">
        <v>25.5</v>
      </c>
      <c r="I1508" s="7"/>
      <c r="J1508" s="7">
        <f t="shared" si="585"/>
        <v>25.5</v>
      </c>
      <c r="K1508" s="7"/>
      <c r="L1508" s="7">
        <f t="shared" si="586"/>
        <v>25.5</v>
      </c>
      <c r="M1508" s="7"/>
      <c r="N1508" s="7">
        <v>25.5</v>
      </c>
      <c r="O1508" s="7">
        <v>25.5</v>
      </c>
      <c r="P1508" s="349">
        <v>25.5</v>
      </c>
      <c r="Q1508" s="257">
        <v>100</v>
      </c>
    </row>
    <row r="1509" spans="1:17" s="12" customFormat="1">
      <c r="A1509" s="8" t="s">
        <v>380</v>
      </c>
      <c r="B1509" s="10" t="s">
        <v>513</v>
      </c>
      <c r="C1509" s="10" t="s">
        <v>50</v>
      </c>
      <c r="D1509" s="10" t="s">
        <v>31</v>
      </c>
      <c r="E1509" s="41" t="s">
        <v>43</v>
      </c>
      <c r="F1509" s="10" t="s">
        <v>336</v>
      </c>
      <c r="G1509" s="11">
        <v>3.4</v>
      </c>
      <c r="H1509" s="31">
        <v>3.4</v>
      </c>
      <c r="I1509" s="7"/>
      <c r="J1509" s="7">
        <f t="shared" si="585"/>
        <v>3.4</v>
      </c>
      <c r="K1509" s="7">
        <f>5</f>
        <v>5</v>
      </c>
      <c r="L1509" s="7">
        <f t="shared" si="586"/>
        <v>8.4</v>
      </c>
      <c r="M1509" s="7"/>
      <c r="N1509" s="7">
        <v>8.4</v>
      </c>
      <c r="O1509" s="7">
        <v>8.4</v>
      </c>
      <c r="P1509" s="349">
        <v>8.4</v>
      </c>
      <c r="Q1509" s="257">
        <v>100</v>
      </c>
    </row>
    <row r="1510" spans="1:17" s="12" customFormat="1">
      <c r="A1510" s="8" t="s">
        <v>17</v>
      </c>
      <c r="B1510" s="10" t="s">
        <v>513</v>
      </c>
      <c r="C1510" s="10" t="s">
        <v>50</v>
      </c>
      <c r="D1510" s="10" t="s">
        <v>31</v>
      </c>
      <c r="E1510" s="10" t="s">
        <v>18</v>
      </c>
      <c r="F1510" s="10"/>
      <c r="G1510" s="11">
        <v>4100</v>
      </c>
      <c r="H1510" s="11">
        <v>4100</v>
      </c>
      <c r="I1510" s="7">
        <f t="shared" ref="I1510:M1510" si="587">I1511</f>
        <v>-1000</v>
      </c>
      <c r="J1510" s="7">
        <f t="shared" si="587"/>
        <v>3100</v>
      </c>
      <c r="K1510" s="7">
        <f t="shared" si="587"/>
        <v>-80.2</v>
      </c>
      <c r="L1510" s="7">
        <f t="shared" si="587"/>
        <v>3019.8</v>
      </c>
      <c r="M1510" s="7">
        <f t="shared" si="587"/>
        <v>-160</v>
      </c>
      <c r="N1510" s="7">
        <v>2859.8</v>
      </c>
      <c r="O1510" s="7">
        <v>2859.8</v>
      </c>
      <c r="P1510" s="349">
        <v>2859.7</v>
      </c>
      <c r="Q1510" s="257">
        <v>100</v>
      </c>
    </row>
    <row r="1511" spans="1:17" s="12" customFormat="1" ht="31.5">
      <c r="A1511" s="8" t="s">
        <v>527</v>
      </c>
      <c r="B1511" s="10" t="s">
        <v>513</v>
      </c>
      <c r="C1511" s="10" t="s">
        <v>50</v>
      </c>
      <c r="D1511" s="10" t="s">
        <v>31</v>
      </c>
      <c r="E1511" s="57" t="s">
        <v>229</v>
      </c>
      <c r="F1511" s="10"/>
      <c r="G1511" s="11">
        <v>4100</v>
      </c>
      <c r="H1511" s="11">
        <v>4100</v>
      </c>
      <c r="I1511" s="7">
        <f t="shared" ref="I1511:M1511" si="588">I1512+I1513+I1514</f>
        <v>-1000</v>
      </c>
      <c r="J1511" s="7">
        <f t="shared" si="588"/>
        <v>3100</v>
      </c>
      <c r="K1511" s="7">
        <f t="shared" si="588"/>
        <v>-80.2</v>
      </c>
      <c r="L1511" s="7">
        <f t="shared" si="588"/>
        <v>3019.8</v>
      </c>
      <c r="M1511" s="7">
        <f t="shared" si="588"/>
        <v>-160</v>
      </c>
      <c r="N1511" s="7">
        <v>2859.8</v>
      </c>
      <c r="O1511" s="7">
        <v>2859.8</v>
      </c>
      <c r="P1511" s="349">
        <v>2859.7</v>
      </c>
      <c r="Q1511" s="257">
        <v>100</v>
      </c>
    </row>
    <row r="1512" spans="1:17" s="12" customFormat="1">
      <c r="A1512" s="8" t="s">
        <v>383</v>
      </c>
      <c r="B1512" s="10" t="s">
        <v>513</v>
      </c>
      <c r="C1512" s="10" t="s">
        <v>50</v>
      </c>
      <c r="D1512" s="10" t="s">
        <v>31</v>
      </c>
      <c r="E1512" s="57" t="s">
        <v>229</v>
      </c>
      <c r="F1512" s="10" t="s">
        <v>332</v>
      </c>
      <c r="G1512" s="11">
        <v>190</v>
      </c>
      <c r="H1512" s="31">
        <v>190</v>
      </c>
      <c r="I1512" s="7"/>
      <c r="J1512" s="7">
        <f>H1512+I1512</f>
        <v>190</v>
      </c>
      <c r="K1512" s="7">
        <f>40+72</f>
        <v>112</v>
      </c>
      <c r="L1512" s="7">
        <f>J1512+K1512</f>
        <v>302</v>
      </c>
      <c r="M1512" s="7"/>
      <c r="N1512" s="7">
        <v>302</v>
      </c>
      <c r="O1512" s="7">
        <v>302</v>
      </c>
      <c r="P1512" s="349">
        <v>302</v>
      </c>
      <c r="Q1512" s="257">
        <v>100</v>
      </c>
    </row>
    <row r="1513" spans="1:17" s="12" customFormat="1">
      <c r="A1513" s="8" t="s">
        <v>362</v>
      </c>
      <c r="B1513" s="10" t="s">
        <v>513</v>
      </c>
      <c r="C1513" s="10" t="s">
        <v>50</v>
      </c>
      <c r="D1513" s="10" t="s">
        <v>31</v>
      </c>
      <c r="E1513" s="57" t="s">
        <v>229</v>
      </c>
      <c r="F1513" s="10" t="s">
        <v>334</v>
      </c>
      <c r="G1513" s="11">
        <v>3110</v>
      </c>
      <c r="H1513" s="31">
        <v>3110</v>
      </c>
      <c r="I1513" s="7">
        <v>-1000</v>
      </c>
      <c r="J1513" s="7">
        <f>H1513+I1513</f>
        <v>2110</v>
      </c>
      <c r="K1513" s="7">
        <f>-40+150+135.7</f>
        <v>245.7</v>
      </c>
      <c r="L1513" s="7">
        <f>J1513+K1513</f>
        <v>2355.6999999999998</v>
      </c>
      <c r="M1513" s="7">
        <v>-160</v>
      </c>
      <c r="N1513" s="7">
        <v>2195.6999999999998</v>
      </c>
      <c r="O1513" s="7">
        <v>2195.6999999999998</v>
      </c>
      <c r="P1513" s="349">
        <v>2195.6</v>
      </c>
      <c r="Q1513" s="257">
        <v>100</v>
      </c>
    </row>
    <row r="1514" spans="1:17" s="12" customFormat="1">
      <c r="A1514" s="8" t="s">
        <v>603</v>
      </c>
      <c r="B1514" s="10" t="s">
        <v>513</v>
      </c>
      <c r="C1514" s="10" t="s">
        <v>50</v>
      </c>
      <c r="D1514" s="10" t="s">
        <v>31</v>
      </c>
      <c r="E1514" s="57" t="s">
        <v>229</v>
      </c>
      <c r="F1514" s="10" t="s">
        <v>604</v>
      </c>
      <c r="G1514" s="11">
        <v>800</v>
      </c>
      <c r="H1514" s="31">
        <v>800</v>
      </c>
      <c r="I1514" s="7"/>
      <c r="J1514" s="7">
        <f>H1514+I1514</f>
        <v>800</v>
      </c>
      <c r="K1514" s="7">
        <v>-437.9</v>
      </c>
      <c r="L1514" s="7">
        <f>J1514+K1514</f>
        <v>362.1</v>
      </c>
      <c r="M1514" s="7"/>
      <c r="N1514" s="7">
        <v>362.1</v>
      </c>
      <c r="O1514" s="7">
        <v>362.1</v>
      </c>
      <c r="P1514" s="349">
        <v>362.1</v>
      </c>
      <c r="Q1514" s="257">
        <v>100</v>
      </c>
    </row>
    <row r="1515" spans="1:17" s="12" customFormat="1">
      <c r="A1515" s="8" t="s">
        <v>363</v>
      </c>
      <c r="B1515" s="10" t="s">
        <v>513</v>
      </c>
      <c r="C1515" s="10" t="s">
        <v>50</v>
      </c>
      <c r="D1515" s="10" t="s">
        <v>31</v>
      </c>
      <c r="E1515" s="65" t="s">
        <v>364</v>
      </c>
      <c r="F1515" s="10"/>
      <c r="G1515" s="11">
        <v>2451.1999999999998</v>
      </c>
      <c r="H1515" s="11">
        <v>2451.1999999999998</v>
      </c>
      <c r="I1515" s="7">
        <f t="shared" ref="I1515:M1515" si="589">I1516</f>
        <v>0</v>
      </c>
      <c r="J1515" s="7">
        <f t="shared" si="589"/>
        <v>2451.1999999999998</v>
      </c>
      <c r="K1515" s="7">
        <f t="shared" si="589"/>
        <v>0</v>
      </c>
      <c r="L1515" s="7">
        <f t="shared" si="589"/>
        <v>2451.1999999999998</v>
      </c>
      <c r="M1515" s="7">
        <f t="shared" si="589"/>
        <v>0</v>
      </c>
      <c r="N1515" s="7">
        <v>2451.1999999999998</v>
      </c>
      <c r="O1515" s="7">
        <v>2451.1999999999998</v>
      </c>
      <c r="P1515" s="349">
        <v>2444.6</v>
      </c>
      <c r="Q1515" s="257">
        <v>99.73</v>
      </c>
    </row>
    <row r="1516" spans="1:17" s="21" customFormat="1" ht="47.25">
      <c r="A1516" s="8" t="s">
        <v>735</v>
      </c>
      <c r="B1516" s="10" t="s">
        <v>513</v>
      </c>
      <c r="C1516" s="10" t="s">
        <v>50</v>
      </c>
      <c r="D1516" s="10" t="s">
        <v>31</v>
      </c>
      <c r="E1516" s="65" t="s">
        <v>629</v>
      </c>
      <c r="F1516" s="10"/>
      <c r="G1516" s="11">
        <v>2451.1999999999998</v>
      </c>
      <c r="H1516" s="11">
        <v>2451.1999999999998</v>
      </c>
      <c r="I1516" s="7">
        <f t="shared" ref="I1516:M1516" si="590">I1517+I1518+I1519+I1520+I1521+I1522</f>
        <v>0</v>
      </c>
      <c r="J1516" s="7">
        <f t="shared" si="590"/>
        <v>2451.1999999999998</v>
      </c>
      <c r="K1516" s="7">
        <f t="shared" si="590"/>
        <v>0</v>
      </c>
      <c r="L1516" s="7">
        <f t="shared" si="590"/>
        <v>2451.1999999999998</v>
      </c>
      <c r="M1516" s="7">
        <f t="shared" si="590"/>
        <v>0</v>
      </c>
      <c r="N1516" s="7">
        <v>2451.1999999999998</v>
      </c>
      <c r="O1516" s="7">
        <v>2451.1999999999998</v>
      </c>
      <c r="P1516" s="349">
        <v>2444.6</v>
      </c>
      <c r="Q1516" s="257">
        <v>99.73</v>
      </c>
    </row>
    <row r="1517" spans="1:17" s="12" customFormat="1">
      <c r="A1517" s="8" t="s">
        <v>337</v>
      </c>
      <c r="B1517" s="10" t="s">
        <v>513</v>
      </c>
      <c r="C1517" s="10" t="s">
        <v>50</v>
      </c>
      <c r="D1517" s="10" t="s">
        <v>31</v>
      </c>
      <c r="E1517" s="65" t="s">
        <v>629</v>
      </c>
      <c r="F1517" s="10" t="s">
        <v>347</v>
      </c>
      <c r="G1517" s="11">
        <v>2189.1</v>
      </c>
      <c r="H1517" s="31">
        <v>2189.1</v>
      </c>
      <c r="I1517" s="7"/>
      <c r="J1517" s="7">
        <f t="shared" ref="J1517:J1522" si="591">H1517+I1517</f>
        <v>2189.1</v>
      </c>
      <c r="K1517" s="7"/>
      <c r="L1517" s="7">
        <f t="shared" ref="L1517:L1522" si="592">J1517+K1517</f>
        <v>2189.1</v>
      </c>
      <c r="M1517" s="7"/>
      <c r="N1517" s="7">
        <v>2189.1</v>
      </c>
      <c r="O1517" s="7">
        <v>2189.1</v>
      </c>
      <c r="P1517" s="349">
        <v>2184.6</v>
      </c>
      <c r="Q1517" s="257">
        <v>99.79</v>
      </c>
    </row>
    <row r="1518" spans="1:17" s="12" customFormat="1">
      <c r="A1518" s="8" t="s">
        <v>356</v>
      </c>
      <c r="B1518" s="10" t="s">
        <v>513</v>
      </c>
      <c r="C1518" s="10" t="s">
        <v>50</v>
      </c>
      <c r="D1518" s="10" t="s">
        <v>31</v>
      </c>
      <c r="E1518" s="65" t="s">
        <v>629</v>
      </c>
      <c r="F1518" s="10" t="s">
        <v>348</v>
      </c>
      <c r="G1518" s="11">
        <v>2.5</v>
      </c>
      <c r="H1518" s="31">
        <v>2.5</v>
      </c>
      <c r="I1518" s="7"/>
      <c r="J1518" s="7">
        <f t="shared" si="591"/>
        <v>2.5</v>
      </c>
      <c r="K1518" s="7"/>
      <c r="L1518" s="7">
        <f t="shared" si="592"/>
        <v>2.5</v>
      </c>
      <c r="M1518" s="7"/>
      <c r="N1518" s="7">
        <v>2.5</v>
      </c>
      <c r="O1518" s="7">
        <v>2.5</v>
      </c>
      <c r="P1518" s="349">
        <v>2.4</v>
      </c>
      <c r="Q1518" s="257">
        <v>96</v>
      </c>
    </row>
    <row r="1519" spans="1:17" s="12" customFormat="1" ht="31.5">
      <c r="A1519" s="8" t="s">
        <v>361</v>
      </c>
      <c r="B1519" s="10" t="s">
        <v>513</v>
      </c>
      <c r="C1519" s="10" t="s">
        <v>50</v>
      </c>
      <c r="D1519" s="10" t="s">
        <v>31</v>
      </c>
      <c r="E1519" s="65" t="s">
        <v>629</v>
      </c>
      <c r="F1519" s="10" t="s">
        <v>333</v>
      </c>
      <c r="G1519" s="11">
        <v>203</v>
      </c>
      <c r="H1519" s="31">
        <v>203</v>
      </c>
      <c r="I1519" s="7"/>
      <c r="J1519" s="7">
        <f t="shared" si="591"/>
        <v>203</v>
      </c>
      <c r="K1519" s="7"/>
      <c r="L1519" s="7">
        <f t="shared" si="592"/>
        <v>203</v>
      </c>
      <c r="M1519" s="7">
        <f>-7+7</f>
        <v>0</v>
      </c>
      <c r="N1519" s="7">
        <v>203</v>
      </c>
      <c r="O1519" s="7">
        <v>203</v>
      </c>
      <c r="P1519" s="349">
        <v>203</v>
      </c>
      <c r="Q1519" s="257">
        <v>100</v>
      </c>
    </row>
    <row r="1520" spans="1:17" s="12" customFormat="1">
      <c r="A1520" s="8" t="s">
        <v>362</v>
      </c>
      <c r="B1520" s="10" t="s">
        <v>513</v>
      </c>
      <c r="C1520" s="10" t="s">
        <v>50</v>
      </c>
      <c r="D1520" s="10" t="s">
        <v>31</v>
      </c>
      <c r="E1520" s="65" t="s">
        <v>629</v>
      </c>
      <c r="F1520" s="10" t="s">
        <v>334</v>
      </c>
      <c r="G1520" s="11">
        <v>54.6</v>
      </c>
      <c r="H1520" s="31">
        <v>54.6</v>
      </c>
      <c r="I1520" s="7"/>
      <c r="J1520" s="7">
        <f t="shared" si="591"/>
        <v>54.6</v>
      </c>
      <c r="K1520" s="7"/>
      <c r="L1520" s="7">
        <f t="shared" si="592"/>
        <v>54.6</v>
      </c>
      <c r="M1520" s="7">
        <f>7-7</f>
        <v>0</v>
      </c>
      <c r="N1520" s="7">
        <v>54.6</v>
      </c>
      <c r="O1520" s="7">
        <v>54.6</v>
      </c>
      <c r="P1520" s="349">
        <v>54.6</v>
      </c>
      <c r="Q1520" s="257">
        <v>100</v>
      </c>
    </row>
    <row r="1521" spans="1:17" s="12" customFormat="1">
      <c r="A1521" s="8" t="s">
        <v>384</v>
      </c>
      <c r="B1521" s="10" t="s">
        <v>513</v>
      </c>
      <c r="C1521" s="10" t="s">
        <v>50</v>
      </c>
      <c r="D1521" s="10" t="s">
        <v>31</v>
      </c>
      <c r="E1521" s="65" t="s">
        <v>629</v>
      </c>
      <c r="F1521" s="10" t="s">
        <v>335</v>
      </c>
      <c r="G1521" s="11">
        <v>0.7</v>
      </c>
      <c r="H1521" s="31">
        <v>0.7</v>
      </c>
      <c r="I1521" s="7"/>
      <c r="J1521" s="7">
        <f t="shared" si="591"/>
        <v>0.7</v>
      </c>
      <c r="K1521" s="7"/>
      <c r="L1521" s="7">
        <f t="shared" si="592"/>
        <v>0.7</v>
      </c>
      <c r="M1521" s="7"/>
      <c r="N1521" s="7">
        <v>0.7</v>
      </c>
      <c r="O1521" s="7">
        <v>0.7</v>
      </c>
      <c r="P1521" s="349">
        <v>0</v>
      </c>
      <c r="Q1521" s="257">
        <v>0</v>
      </c>
    </row>
    <row r="1522" spans="1:17" s="12" customFormat="1">
      <c r="A1522" s="8" t="s">
        <v>380</v>
      </c>
      <c r="B1522" s="10" t="s">
        <v>513</v>
      </c>
      <c r="C1522" s="10" t="s">
        <v>50</v>
      </c>
      <c r="D1522" s="10" t="s">
        <v>31</v>
      </c>
      <c r="E1522" s="65" t="s">
        <v>629</v>
      </c>
      <c r="F1522" s="10" t="s">
        <v>336</v>
      </c>
      <c r="G1522" s="11">
        <v>1.3</v>
      </c>
      <c r="H1522" s="31">
        <v>1.3</v>
      </c>
      <c r="I1522" s="7"/>
      <c r="J1522" s="7">
        <f t="shared" si="591"/>
        <v>1.3</v>
      </c>
      <c r="K1522" s="7"/>
      <c r="L1522" s="7">
        <f t="shared" si="592"/>
        <v>1.3</v>
      </c>
      <c r="M1522" s="7"/>
      <c r="N1522" s="7">
        <v>1.3</v>
      </c>
      <c r="O1522" s="7">
        <v>1.3</v>
      </c>
      <c r="P1522" s="349">
        <v>0</v>
      </c>
      <c r="Q1522" s="257">
        <v>0</v>
      </c>
    </row>
    <row r="1523" spans="1:17" s="30" customFormat="1">
      <c r="A1523" s="408" t="s">
        <v>266</v>
      </c>
      <c r="B1523" s="409"/>
      <c r="C1523" s="409"/>
      <c r="D1523" s="409"/>
      <c r="E1523" s="409"/>
      <c r="F1523" s="409"/>
      <c r="G1523" s="28">
        <v>4530.5</v>
      </c>
      <c r="H1523" s="28">
        <v>12694</v>
      </c>
      <c r="I1523" s="29">
        <f t="shared" ref="I1523:M1523" si="593">I1524+I1535</f>
        <v>0</v>
      </c>
      <c r="J1523" s="29">
        <f t="shared" si="593"/>
        <v>12694</v>
      </c>
      <c r="K1523" s="29">
        <f t="shared" si="593"/>
        <v>390.4</v>
      </c>
      <c r="L1523" s="29">
        <f t="shared" si="593"/>
        <v>13084.4</v>
      </c>
      <c r="M1523" s="29">
        <f t="shared" si="593"/>
        <v>0</v>
      </c>
      <c r="N1523" s="29">
        <v>13084.4</v>
      </c>
      <c r="O1523" s="29">
        <v>13084.4</v>
      </c>
      <c r="P1523" s="348">
        <v>13002.7</v>
      </c>
      <c r="Q1523" s="256">
        <v>99.38</v>
      </c>
    </row>
    <row r="1524" spans="1:17" s="30" customFormat="1">
      <c r="A1524" s="26" t="s">
        <v>52</v>
      </c>
      <c r="B1524" s="73">
        <v>914</v>
      </c>
      <c r="C1524" s="27" t="s">
        <v>16</v>
      </c>
      <c r="D1524" s="27"/>
      <c r="E1524" s="27"/>
      <c r="F1524" s="27"/>
      <c r="G1524" s="28">
        <v>4380.5</v>
      </c>
      <c r="H1524" s="28">
        <v>12494</v>
      </c>
      <c r="I1524" s="29">
        <f t="shared" ref="I1524:M1526" si="594">I1525</f>
        <v>0</v>
      </c>
      <c r="J1524" s="29">
        <f t="shared" si="594"/>
        <v>12494</v>
      </c>
      <c r="K1524" s="29">
        <f t="shared" si="594"/>
        <v>549.5</v>
      </c>
      <c r="L1524" s="29">
        <f t="shared" si="594"/>
        <v>13043.5</v>
      </c>
      <c r="M1524" s="29">
        <f t="shared" si="594"/>
        <v>2.2999999999999998</v>
      </c>
      <c r="N1524" s="29">
        <v>13045.8</v>
      </c>
      <c r="O1524" s="29">
        <v>13045.8</v>
      </c>
      <c r="P1524" s="348">
        <v>12964.1</v>
      </c>
      <c r="Q1524" s="256">
        <v>99.37</v>
      </c>
    </row>
    <row r="1525" spans="1:17" s="30" customFormat="1" ht="47.25">
      <c r="A1525" s="26" t="s">
        <v>142</v>
      </c>
      <c r="B1525" s="73">
        <v>914</v>
      </c>
      <c r="C1525" s="27" t="s">
        <v>16</v>
      </c>
      <c r="D1525" s="27" t="s">
        <v>34</v>
      </c>
      <c r="E1525" s="27"/>
      <c r="F1525" s="27"/>
      <c r="G1525" s="28">
        <v>4380.5</v>
      </c>
      <c r="H1525" s="60">
        <v>12494</v>
      </c>
      <c r="I1525" s="29">
        <f t="shared" si="594"/>
        <v>0</v>
      </c>
      <c r="J1525" s="29">
        <f t="shared" si="594"/>
        <v>12494</v>
      </c>
      <c r="K1525" s="29">
        <f t="shared" si="594"/>
        <v>549.5</v>
      </c>
      <c r="L1525" s="29">
        <f t="shared" si="594"/>
        <v>13043.5</v>
      </c>
      <c r="M1525" s="29">
        <f t="shared" si="594"/>
        <v>2.2999999999999998</v>
      </c>
      <c r="N1525" s="29">
        <v>13045.8</v>
      </c>
      <c r="O1525" s="29">
        <v>13045.8</v>
      </c>
      <c r="P1525" s="348">
        <v>12964.1</v>
      </c>
      <c r="Q1525" s="256">
        <v>99.37</v>
      </c>
    </row>
    <row r="1526" spans="1:17" s="12" customFormat="1" ht="47.25">
      <c r="A1526" s="8" t="s">
        <v>65</v>
      </c>
      <c r="B1526" s="57">
        <v>914</v>
      </c>
      <c r="C1526" s="10" t="s">
        <v>16</v>
      </c>
      <c r="D1526" s="10" t="s">
        <v>34</v>
      </c>
      <c r="E1526" s="10" t="s">
        <v>41</v>
      </c>
      <c r="F1526" s="10"/>
      <c r="G1526" s="11">
        <v>4380.5</v>
      </c>
      <c r="H1526" s="11">
        <v>12494</v>
      </c>
      <c r="I1526" s="7">
        <f t="shared" si="594"/>
        <v>0</v>
      </c>
      <c r="J1526" s="7">
        <f t="shared" si="594"/>
        <v>12494</v>
      </c>
      <c r="K1526" s="7">
        <f t="shared" si="594"/>
        <v>549.5</v>
      </c>
      <c r="L1526" s="7">
        <f t="shared" si="594"/>
        <v>13043.5</v>
      </c>
      <c r="M1526" s="7">
        <f t="shared" si="594"/>
        <v>2.2999999999999998</v>
      </c>
      <c r="N1526" s="7">
        <v>13045.8</v>
      </c>
      <c r="O1526" s="7">
        <v>13045.8</v>
      </c>
      <c r="P1526" s="349">
        <v>12964.1</v>
      </c>
      <c r="Q1526" s="257">
        <v>99.37</v>
      </c>
    </row>
    <row r="1527" spans="1:17" s="12" customFormat="1">
      <c r="A1527" s="8" t="s">
        <v>42</v>
      </c>
      <c r="B1527" s="57">
        <v>914</v>
      </c>
      <c r="C1527" s="10" t="s">
        <v>16</v>
      </c>
      <c r="D1527" s="10" t="s">
        <v>34</v>
      </c>
      <c r="E1527" s="41" t="s">
        <v>43</v>
      </c>
      <c r="F1527" s="10"/>
      <c r="G1527" s="11">
        <v>4380.5</v>
      </c>
      <c r="H1527" s="11">
        <v>12494</v>
      </c>
      <c r="I1527" s="7">
        <f>I1528+I1529+I1530+I1531+I1533+I1534</f>
        <v>0</v>
      </c>
      <c r="J1527" s="7">
        <f>J1528+J1529+J1530+J1531+J1533+J1534</f>
        <v>12494</v>
      </c>
      <c r="K1527" s="7">
        <f>K1528+K1529+K1530+K1531+K1533+K1534</f>
        <v>549.5</v>
      </c>
      <c r="L1527" s="7">
        <f>L1528+L1529+L1530+L1531+L1533+L1534+L1532</f>
        <v>13043.5</v>
      </c>
      <c r="M1527" s="7">
        <f>M1528+M1529+M1530+M1531+M1533+M1534+M1532</f>
        <v>2.2999999999999998</v>
      </c>
      <c r="N1527" s="7">
        <v>13045.8</v>
      </c>
      <c r="O1527" s="7">
        <v>13045.8</v>
      </c>
      <c r="P1527" s="349">
        <v>12964.1</v>
      </c>
      <c r="Q1527" s="257">
        <v>99.37</v>
      </c>
    </row>
    <row r="1528" spans="1:17" s="12" customFormat="1">
      <c r="A1528" s="8" t="s">
        <v>337</v>
      </c>
      <c r="B1528" s="57">
        <v>914</v>
      </c>
      <c r="C1528" s="10" t="s">
        <v>16</v>
      </c>
      <c r="D1528" s="10" t="s">
        <v>34</v>
      </c>
      <c r="E1528" s="41" t="s">
        <v>43</v>
      </c>
      <c r="F1528" s="10" t="s">
        <v>331</v>
      </c>
      <c r="G1528" s="11">
        <v>1590.4</v>
      </c>
      <c r="H1528" s="31">
        <v>8937.7999999999993</v>
      </c>
      <c r="I1528" s="7"/>
      <c r="J1528" s="7">
        <f t="shared" ref="J1528:J1534" si="595">H1528+I1528</f>
        <v>8937.7999999999993</v>
      </c>
      <c r="K1528" s="7">
        <f>140.4+250</f>
        <v>390.4</v>
      </c>
      <c r="L1528" s="7">
        <f t="shared" ref="L1528:L1534" si="596">J1528+K1528</f>
        <v>9328.2000000000007</v>
      </c>
      <c r="M1528" s="7"/>
      <c r="N1528" s="7">
        <v>9328.2000000000007</v>
      </c>
      <c r="O1528" s="7">
        <v>9328.2000000000007</v>
      </c>
      <c r="P1528" s="349">
        <v>9246.5</v>
      </c>
      <c r="Q1528" s="257">
        <v>99.12</v>
      </c>
    </row>
    <row r="1529" spans="1:17" s="12" customFormat="1">
      <c r="A1529" s="8" t="s">
        <v>356</v>
      </c>
      <c r="B1529" s="57">
        <v>914</v>
      </c>
      <c r="C1529" s="10" t="s">
        <v>16</v>
      </c>
      <c r="D1529" s="10" t="s">
        <v>34</v>
      </c>
      <c r="E1529" s="41" t="s">
        <v>43</v>
      </c>
      <c r="F1529" s="10" t="s">
        <v>332</v>
      </c>
      <c r="G1529" s="11">
        <v>94</v>
      </c>
      <c r="H1529" s="31">
        <v>350</v>
      </c>
      <c r="I1529" s="7"/>
      <c r="J1529" s="7">
        <f t="shared" si="595"/>
        <v>350</v>
      </c>
      <c r="K1529" s="7">
        <f>-5</f>
        <v>-5</v>
      </c>
      <c r="L1529" s="7">
        <f t="shared" si="596"/>
        <v>345</v>
      </c>
      <c r="M1529" s="7">
        <v>-13.7</v>
      </c>
      <c r="N1529" s="7">
        <v>331.3</v>
      </c>
      <c r="O1529" s="7">
        <v>331.3</v>
      </c>
      <c r="P1529" s="349">
        <v>331.3</v>
      </c>
      <c r="Q1529" s="257">
        <v>100</v>
      </c>
    </row>
    <row r="1530" spans="1:17" s="12" customFormat="1" ht="31.5">
      <c r="A1530" s="8" t="s">
        <v>361</v>
      </c>
      <c r="B1530" s="57">
        <v>914</v>
      </c>
      <c r="C1530" s="10" t="s">
        <v>16</v>
      </c>
      <c r="D1530" s="10" t="s">
        <v>34</v>
      </c>
      <c r="E1530" s="41" t="s">
        <v>43</v>
      </c>
      <c r="F1530" s="10" t="s">
        <v>333</v>
      </c>
      <c r="G1530" s="11">
        <v>385</v>
      </c>
      <c r="H1530" s="31">
        <v>535</v>
      </c>
      <c r="I1530" s="7"/>
      <c r="J1530" s="7">
        <f t="shared" si="595"/>
        <v>535</v>
      </c>
      <c r="K1530" s="7">
        <f>120-8</f>
        <v>112</v>
      </c>
      <c r="L1530" s="7">
        <f t="shared" si="596"/>
        <v>647</v>
      </c>
      <c r="M1530" s="7">
        <v>14.8</v>
      </c>
      <c r="N1530" s="7">
        <v>661.8</v>
      </c>
      <c r="O1530" s="7">
        <v>661.8</v>
      </c>
      <c r="P1530" s="349">
        <v>661.8</v>
      </c>
      <c r="Q1530" s="257">
        <v>100</v>
      </c>
    </row>
    <row r="1531" spans="1:17" s="12" customFormat="1">
      <c r="A1531" s="8" t="s">
        <v>362</v>
      </c>
      <c r="B1531" s="57">
        <v>914</v>
      </c>
      <c r="C1531" s="10" t="s">
        <v>16</v>
      </c>
      <c r="D1531" s="10" t="s">
        <v>34</v>
      </c>
      <c r="E1531" s="41" t="s">
        <v>43</v>
      </c>
      <c r="F1531" s="10" t="s">
        <v>334</v>
      </c>
      <c r="G1531" s="11">
        <v>2279.6</v>
      </c>
      <c r="H1531" s="31">
        <v>2606.1999999999998</v>
      </c>
      <c r="I1531" s="7"/>
      <c r="J1531" s="7">
        <f t="shared" si="595"/>
        <v>2606.1999999999998</v>
      </c>
      <c r="K1531" s="7">
        <f>-29+61.1</f>
        <v>32.1</v>
      </c>
      <c r="L1531" s="7">
        <f t="shared" si="596"/>
        <v>2638.3</v>
      </c>
      <c r="M1531" s="7">
        <v>-53.8</v>
      </c>
      <c r="N1531" s="7">
        <v>2584.5</v>
      </c>
      <c r="O1531" s="7">
        <v>2584.5</v>
      </c>
      <c r="P1531" s="349">
        <v>2584.5</v>
      </c>
      <c r="Q1531" s="257">
        <v>100</v>
      </c>
    </row>
    <row r="1532" spans="1:17" s="12" customFormat="1" ht="78.75">
      <c r="A1532" s="8" t="s">
        <v>428</v>
      </c>
      <c r="B1532" s="57">
        <v>914</v>
      </c>
      <c r="C1532" s="10" t="s">
        <v>16</v>
      </c>
      <c r="D1532" s="10" t="s">
        <v>34</v>
      </c>
      <c r="E1532" s="41" t="s">
        <v>43</v>
      </c>
      <c r="F1532" s="10" t="s">
        <v>427</v>
      </c>
      <c r="G1532" s="11"/>
      <c r="H1532" s="31"/>
      <c r="I1532" s="7"/>
      <c r="J1532" s="7"/>
      <c r="K1532" s="7"/>
      <c r="L1532" s="7"/>
      <c r="M1532" s="7">
        <v>55</v>
      </c>
      <c r="N1532" s="7">
        <v>55</v>
      </c>
      <c r="O1532" s="7">
        <v>55</v>
      </c>
      <c r="P1532" s="349">
        <v>55</v>
      </c>
      <c r="Q1532" s="257">
        <v>100</v>
      </c>
    </row>
    <row r="1533" spans="1:17" s="12" customFormat="1">
      <c r="A1533" s="8" t="s">
        <v>384</v>
      </c>
      <c r="B1533" s="57">
        <v>914</v>
      </c>
      <c r="C1533" s="10" t="s">
        <v>16</v>
      </c>
      <c r="D1533" s="10" t="s">
        <v>34</v>
      </c>
      <c r="E1533" s="41" t="s">
        <v>43</v>
      </c>
      <c r="F1533" s="10" t="s">
        <v>335</v>
      </c>
      <c r="G1533" s="11">
        <v>26.5</v>
      </c>
      <c r="H1533" s="31">
        <v>35</v>
      </c>
      <c r="I1533" s="7"/>
      <c r="J1533" s="7">
        <f t="shared" si="595"/>
        <v>35</v>
      </c>
      <c r="K1533" s="7"/>
      <c r="L1533" s="7">
        <f t="shared" si="596"/>
        <v>35</v>
      </c>
      <c r="M1533" s="7"/>
      <c r="N1533" s="7">
        <v>35</v>
      </c>
      <c r="O1533" s="7">
        <v>35</v>
      </c>
      <c r="P1533" s="349">
        <v>35</v>
      </c>
      <c r="Q1533" s="257">
        <v>100</v>
      </c>
    </row>
    <row r="1534" spans="1:17" s="12" customFormat="1">
      <c r="A1534" s="8" t="s">
        <v>380</v>
      </c>
      <c r="B1534" s="57">
        <v>914</v>
      </c>
      <c r="C1534" s="10" t="s">
        <v>16</v>
      </c>
      <c r="D1534" s="10" t="s">
        <v>34</v>
      </c>
      <c r="E1534" s="41" t="s">
        <v>43</v>
      </c>
      <c r="F1534" s="10" t="s">
        <v>336</v>
      </c>
      <c r="G1534" s="11">
        <v>5</v>
      </c>
      <c r="H1534" s="31">
        <v>30</v>
      </c>
      <c r="I1534" s="7"/>
      <c r="J1534" s="7">
        <f t="shared" si="595"/>
        <v>30</v>
      </c>
      <c r="K1534" s="7">
        <f>22-2</f>
        <v>20</v>
      </c>
      <c r="L1534" s="7">
        <f t="shared" si="596"/>
        <v>50</v>
      </c>
      <c r="M1534" s="7"/>
      <c r="N1534" s="7">
        <v>50</v>
      </c>
      <c r="O1534" s="7">
        <v>50</v>
      </c>
      <c r="P1534" s="349">
        <v>50</v>
      </c>
      <c r="Q1534" s="257">
        <v>100</v>
      </c>
    </row>
    <row r="1535" spans="1:17" s="30" customFormat="1">
      <c r="A1535" s="26" t="s">
        <v>8</v>
      </c>
      <c r="B1535" s="73">
        <v>914</v>
      </c>
      <c r="C1535" s="27" t="s">
        <v>9</v>
      </c>
      <c r="D1535" s="27"/>
      <c r="E1535" s="27"/>
      <c r="F1535" s="27"/>
      <c r="G1535" s="28">
        <v>150</v>
      </c>
      <c r="H1535" s="28">
        <v>200</v>
      </c>
      <c r="I1535" s="29">
        <f t="shared" ref="I1535:M1537" si="597">I1536</f>
        <v>0</v>
      </c>
      <c r="J1535" s="29">
        <f t="shared" si="597"/>
        <v>200</v>
      </c>
      <c r="K1535" s="29">
        <f t="shared" si="597"/>
        <v>-159.1</v>
      </c>
      <c r="L1535" s="29">
        <f t="shared" si="597"/>
        <v>40.9</v>
      </c>
      <c r="M1535" s="29">
        <f t="shared" si="597"/>
        <v>-2.2999999999999998</v>
      </c>
      <c r="N1535" s="29">
        <v>38.6</v>
      </c>
      <c r="O1535" s="29">
        <v>38.6</v>
      </c>
      <c r="P1535" s="348">
        <v>38.6</v>
      </c>
      <c r="Q1535" s="256">
        <v>100</v>
      </c>
    </row>
    <row r="1536" spans="1:17" s="30" customFormat="1" ht="31.5">
      <c r="A1536" s="26" t="s">
        <v>75</v>
      </c>
      <c r="B1536" s="73">
        <v>914</v>
      </c>
      <c r="C1536" s="27" t="s">
        <v>9</v>
      </c>
      <c r="D1536" s="27" t="s">
        <v>31</v>
      </c>
      <c r="E1536" s="27"/>
      <c r="F1536" s="27"/>
      <c r="G1536" s="28">
        <v>150</v>
      </c>
      <c r="H1536" s="28">
        <v>200</v>
      </c>
      <c r="I1536" s="29">
        <f t="shared" si="597"/>
        <v>0</v>
      </c>
      <c r="J1536" s="29">
        <f t="shared" si="597"/>
        <v>200</v>
      </c>
      <c r="K1536" s="29">
        <f t="shared" si="597"/>
        <v>-159.1</v>
      </c>
      <c r="L1536" s="29">
        <f t="shared" si="597"/>
        <v>40.9</v>
      </c>
      <c r="M1536" s="29">
        <f t="shared" si="597"/>
        <v>-2.2999999999999998</v>
      </c>
      <c r="N1536" s="29">
        <v>38.6</v>
      </c>
      <c r="O1536" s="29">
        <v>38.6</v>
      </c>
      <c r="P1536" s="348">
        <v>38.6</v>
      </c>
      <c r="Q1536" s="256">
        <v>100</v>
      </c>
    </row>
    <row r="1537" spans="1:17" s="12" customFormat="1">
      <c r="A1537" s="8" t="s">
        <v>343</v>
      </c>
      <c r="B1537" s="57">
        <v>914</v>
      </c>
      <c r="C1537" s="10" t="s">
        <v>9</v>
      </c>
      <c r="D1537" s="10" t="s">
        <v>31</v>
      </c>
      <c r="E1537" s="10" t="s">
        <v>342</v>
      </c>
      <c r="F1537" s="10"/>
      <c r="G1537" s="11">
        <v>150</v>
      </c>
      <c r="H1537" s="11">
        <v>200</v>
      </c>
      <c r="I1537" s="7">
        <f t="shared" si="597"/>
        <v>0</v>
      </c>
      <c r="J1537" s="7">
        <f t="shared" si="597"/>
        <v>200</v>
      </c>
      <c r="K1537" s="7">
        <f t="shared" si="597"/>
        <v>-159.1</v>
      </c>
      <c r="L1537" s="7">
        <f t="shared" si="597"/>
        <v>40.9</v>
      </c>
      <c r="M1537" s="7">
        <f t="shared" si="597"/>
        <v>-2.2999999999999998</v>
      </c>
      <c r="N1537" s="7">
        <v>38.6</v>
      </c>
      <c r="O1537" s="7">
        <v>38.6</v>
      </c>
      <c r="P1537" s="349">
        <v>38.6</v>
      </c>
      <c r="Q1537" s="257">
        <v>100</v>
      </c>
    </row>
    <row r="1538" spans="1:17" s="12" customFormat="1" ht="31.5">
      <c r="A1538" s="8" t="s">
        <v>471</v>
      </c>
      <c r="B1538" s="57">
        <v>914</v>
      </c>
      <c r="C1538" s="10" t="s">
        <v>9</v>
      </c>
      <c r="D1538" s="10" t="s">
        <v>31</v>
      </c>
      <c r="E1538" s="10" t="s">
        <v>344</v>
      </c>
      <c r="F1538" s="10"/>
      <c r="G1538" s="11">
        <v>150</v>
      </c>
      <c r="H1538" s="11">
        <v>200</v>
      </c>
      <c r="I1538" s="7">
        <f t="shared" ref="I1538:M1538" si="598">I1539+I1540</f>
        <v>0</v>
      </c>
      <c r="J1538" s="7">
        <f t="shared" si="598"/>
        <v>200</v>
      </c>
      <c r="K1538" s="7">
        <f t="shared" si="598"/>
        <v>-159.1</v>
      </c>
      <c r="L1538" s="7">
        <f t="shared" si="598"/>
        <v>40.9</v>
      </c>
      <c r="M1538" s="7">
        <f t="shared" si="598"/>
        <v>-2.2999999999999998</v>
      </c>
      <c r="N1538" s="7">
        <v>38.6</v>
      </c>
      <c r="O1538" s="7">
        <v>38.6</v>
      </c>
      <c r="P1538" s="349">
        <v>38.6</v>
      </c>
      <c r="Q1538" s="257">
        <v>100</v>
      </c>
    </row>
    <row r="1539" spans="1:17" s="12" customFormat="1" ht="31.5">
      <c r="A1539" s="8" t="s">
        <v>345</v>
      </c>
      <c r="B1539" s="57">
        <v>914</v>
      </c>
      <c r="C1539" s="10" t="s">
        <v>9</v>
      </c>
      <c r="D1539" s="10" t="s">
        <v>31</v>
      </c>
      <c r="E1539" s="10" t="s">
        <v>344</v>
      </c>
      <c r="F1539" s="10" t="s">
        <v>332</v>
      </c>
      <c r="G1539" s="11">
        <v>45</v>
      </c>
      <c r="H1539" s="31">
        <v>65</v>
      </c>
      <c r="I1539" s="7"/>
      <c r="J1539" s="7">
        <f>H1539+I1539</f>
        <v>65</v>
      </c>
      <c r="K1539" s="7">
        <f>-23-18.5</f>
        <v>-41.5</v>
      </c>
      <c r="L1539" s="7">
        <f>J1539+K1539</f>
        <v>23.5</v>
      </c>
      <c r="M1539" s="7">
        <v>-1.9</v>
      </c>
      <c r="N1539" s="7">
        <v>21.6</v>
      </c>
      <c r="O1539" s="7">
        <v>21.6</v>
      </c>
      <c r="P1539" s="349">
        <v>21.6</v>
      </c>
      <c r="Q1539" s="257">
        <v>100</v>
      </c>
    </row>
    <row r="1540" spans="1:17" s="12" customFormat="1" ht="31.5">
      <c r="A1540" s="8" t="s">
        <v>339</v>
      </c>
      <c r="B1540" s="57">
        <v>914</v>
      </c>
      <c r="C1540" s="10" t="s">
        <v>9</v>
      </c>
      <c r="D1540" s="10" t="s">
        <v>31</v>
      </c>
      <c r="E1540" s="10" t="s">
        <v>344</v>
      </c>
      <c r="F1540" s="41" t="s">
        <v>334</v>
      </c>
      <c r="G1540" s="11">
        <v>105</v>
      </c>
      <c r="H1540" s="31">
        <v>135</v>
      </c>
      <c r="I1540" s="7"/>
      <c r="J1540" s="7">
        <f>H1540+I1540</f>
        <v>135</v>
      </c>
      <c r="K1540" s="7">
        <f>-90-27.6</f>
        <v>-117.6</v>
      </c>
      <c r="L1540" s="7">
        <f>J1540+K1540</f>
        <v>17.399999999999999</v>
      </c>
      <c r="M1540" s="7">
        <v>-0.4</v>
      </c>
      <c r="N1540" s="7">
        <v>17</v>
      </c>
      <c r="O1540" s="7">
        <v>17</v>
      </c>
      <c r="P1540" s="349">
        <v>17</v>
      </c>
      <c r="Q1540" s="257">
        <v>100</v>
      </c>
    </row>
    <row r="1541" spans="1:17" s="30" customFormat="1">
      <c r="A1541" s="408" t="s">
        <v>267</v>
      </c>
      <c r="B1541" s="409"/>
      <c r="C1541" s="409"/>
      <c r="D1541" s="409"/>
      <c r="E1541" s="409"/>
      <c r="F1541" s="409"/>
      <c r="G1541" s="28">
        <v>1911.3</v>
      </c>
      <c r="H1541" s="28">
        <v>8376.5</v>
      </c>
      <c r="I1541" s="29" t="e">
        <f>I1542+I1557</f>
        <v>#REF!</v>
      </c>
      <c r="J1541" s="29" t="e">
        <f>J1542+J1557</f>
        <v>#REF!</v>
      </c>
      <c r="K1541" s="29" t="e">
        <f>K1542+K1557</f>
        <v>#REF!</v>
      </c>
      <c r="L1541" s="29" t="e">
        <f>L1542+L1557</f>
        <v>#REF!</v>
      </c>
      <c r="M1541" s="29" t="e">
        <f>M1542+M1557</f>
        <v>#REF!</v>
      </c>
      <c r="N1541" s="29">
        <v>11194.9</v>
      </c>
      <c r="O1541" s="29">
        <v>11194.9</v>
      </c>
      <c r="P1541" s="348">
        <v>8178.9</v>
      </c>
      <c r="Q1541" s="256">
        <v>73.06</v>
      </c>
    </row>
    <row r="1542" spans="1:17" s="30" customFormat="1">
      <c r="A1542" s="26" t="s">
        <v>100</v>
      </c>
      <c r="B1542" s="27" t="s">
        <v>514</v>
      </c>
      <c r="C1542" s="27" t="s">
        <v>11</v>
      </c>
      <c r="D1542" s="27"/>
      <c r="E1542" s="27"/>
      <c r="F1542" s="27"/>
      <c r="G1542" s="28">
        <v>1757</v>
      </c>
      <c r="H1542" s="28">
        <v>8222.2000000000007</v>
      </c>
      <c r="I1542" s="29" t="e">
        <f t="shared" ref="I1542:M1542" si="599">I1543</f>
        <v>#REF!</v>
      </c>
      <c r="J1542" s="29" t="e">
        <f t="shared" si="599"/>
        <v>#REF!</v>
      </c>
      <c r="K1542" s="29" t="e">
        <f t="shared" si="599"/>
        <v>#REF!</v>
      </c>
      <c r="L1542" s="29" t="e">
        <f t="shared" si="599"/>
        <v>#REF!</v>
      </c>
      <c r="M1542" s="29" t="e">
        <f t="shared" si="599"/>
        <v>#REF!</v>
      </c>
      <c r="N1542" s="29">
        <v>11125.4</v>
      </c>
      <c r="O1542" s="29">
        <v>11125.4</v>
      </c>
      <c r="P1542" s="348">
        <v>8109.4</v>
      </c>
      <c r="Q1542" s="256">
        <v>72.89</v>
      </c>
    </row>
    <row r="1543" spans="1:17" s="30" customFormat="1">
      <c r="A1543" s="26" t="s">
        <v>268</v>
      </c>
      <c r="B1543" s="27" t="s">
        <v>514</v>
      </c>
      <c r="C1543" s="27" t="s">
        <v>11</v>
      </c>
      <c r="D1543" s="27" t="s">
        <v>16</v>
      </c>
      <c r="E1543" s="27"/>
      <c r="F1543" s="27"/>
      <c r="G1543" s="28">
        <v>1757</v>
      </c>
      <c r="H1543" s="28">
        <v>8222.2000000000007</v>
      </c>
      <c r="I1543" s="29" t="e">
        <f>I1544+#REF!</f>
        <v>#REF!</v>
      </c>
      <c r="J1543" s="29" t="e">
        <f>J1544+#REF!+J1553</f>
        <v>#REF!</v>
      </c>
      <c r="K1543" s="29" t="e">
        <f>K1544+#REF!+K1553</f>
        <v>#REF!</v>
      </c>
      <c r="L1543" s="29" t="e">
        <f>L1544+#REF!+L1553</f>
        <v>#REF!</v>
      </c>
      <c r="M1543" s="29" t="e">
        <f>M1544+#REF!+M1553</f>
        <v>#REF!</v>
      </c>
      <c r="N1543" s="29">
        <v>11125.4</v>
      </c>
      <c r="O1543" s="29">
        <v>11125.4</v>
      </c>
      <c r="P1543" s="348">
        <v>8109.4</v>
      </c>
      <c r="Q1543" s="256">
        <v>72.89</v>
      </c>
    </row>
    <row r="1544" spans="1:17" s="12" customFormat="1" ht="47.25">
      <c r="A1544" s="8" t="s">
        <v>65</v>
      </c>
      <c r="B1544" s="10" t="s">
        <v>514</v>
      </c>
      <c r="C1544" s="10" t="s">
        <v>11</v>
      </c>
      <c r="D1544" s="10" t="s">
        <v>16</v>
      </c>
      <c r="E1544" s="10" t="s">
        <v>41</v>
      </c>
      <c r="F1544" s="10"/>
      <c r="G1544" s="11">
        <v>757</v>
      </c>
      <c r="H1544" s="11">
        <v>7222.2</v>
      </c>
      <c r="I1544" s="7">
        <f t="shared" ref="I1544:M1544" si="600">I1545</f>
        <v>0</v>
      </c>
      <c r="J1544" s="7">
        <f t="shared" si="600"/>
        <v>7222.2</v>
      </c>
      <c r="K1544" s="7">
        <f t="shared" si="600"/>
        <v>900.8</v>
      </c>
      <c r="L1544" s="7">
        <f t="shared" si="600"/>
        <v>8123</v>
      </c>
      <c r="M1544" s="7">
        <f t="shared" si="600"/>
        <v>2.4</v>
      </c>
      <c r="N1544" s="7">
        <v>8125.4</v>
      </c>
      <c r="O1544" s="7">
        <v>8125.4</v>
      </c>
      <c r="P1544" s="349">
        <v>8109.4</v>
      </c>
      <c r="Q1544" s="257">
        <v>99.8</v>
      </c>
    </row>
    <row r="1545" spans="1:17" s="12" customFormat="1">
      <c r="A1545" s="8" t="s">
        <v>42</v>
      </c>
      <c r="B1545" s="10" t="s">
        <v>514</v>
      </c>
      <c r="C1545" s="10" t="s">
        <v>11</v>
      </c>
      <c r="D1545" s="10" t="s">
        <v>16</v>
      </c>
      <c r="E1545" s="41" t="s">
        <v>43</v>
      </c>
      <c r="F1545" s="10"/>
      <c r="G1545" s="11">
        <v>757</v>
      </c>
      <c r="H1545" s="11">
        <v>7222.2</v>
      </c>
      <c r="I1545" s="7">
        <f>I1546+I1547+I1548+I1549+I1551+I1552</f>
        <v>0</v>
      </c>
      <c r="J1545" s="7">
        <f t="shared" ref="J1545:M1545" si="601">J1546+J1547+J1548+J1549+J1551+J1552+J1550</f>
        <v>7222.2</v>
      </c>
      <c r="K1545" s="7">
        <f t="shared" si="601"/>
        <v>900.8</v>
      </c>
      <c r="L1545" s="7">
        <f t="shared" si="601"/>
        <v>8123</v>
      </c>
      <c r="M1545" s="7">
        <f t="shared" si="601"/>
        <v>2.4</v>
      </c>
      <c r="N1545" s="7">
        <v>8125.4</v>
      </c>
      <c r="O1545" s="7">
        <v>8125.4</v>
      </c>
      <c r="P1545" s="349">
        <v>8109.4</v>
      </c>
      <c r="Q1545" s="257">
        <v>99.8</v>
      </c>
    </row>
    <row r="1546" spans="1:17" s="12" customFormat="1">
      <c r="A1546" s="8" t="s">
        <v>337</v>
      </c>
      <c r="B1546" s="10" t="s">
        <v>514</v>
      </c>
      <c r="C1546" s="10" t="s">
        <v>11</v>
      </c>
      <c r="D1546" s="10" t="s">
        <v>16</v>
      </c>
      <c r="E1546" s="41" t="s">
        <v>43</v>
      </c>
      <c r="F1546" s="10" t="s">
        <v>331</v>
      </c>
      <c r="G1546" s="11">
        <v>832</v>
      </c>
      <c r="H1546" s="31">
        <v>5917</v>
      </c>
      <c r="I1546" s="7"/>
      <c r="J1546" s="7">
        <f t="shared" ref="J1546:J1552" si="602">H1546+I1546</f>
        <v>5917</v>
      </c>
      <c r="K1546" s="7">
        <v>369.8</v>
      </c>
      <c r="L1546" s="7">
        <f t="shared" ref="L1546:L1552" si="603">J1546+K1546</f>
        <v>6286.8</v>
      </c>
      <c r="M1546" s="7"/>
      <c r="N1546" s="7">
        <v>6286.8</v>
      </c>
      <c r="O1546" s="7">
        <v>6286.8</v>
      </c>
      <c r="P1546" s="349">
        <v>6286.8</v>
      </c>
      <c r="Q1546" s="257">
        <v>100</v>
      </c>
    </row>
    <row r="1547" spans="1:17" s="12" customFormat="1">
      <c r="A1547" s="8" t="s">
        <v>356</v>
      </c>
      <c r="B1547" s="10" t="s">
        <v>514</v>
      </c>
      <c r="C1547" s="10" t="s">
        <v>11</v>
      </c>
      <c r="D1547" s="10" t="s">
        <v>16</v>
      </c>
      <c r="E1547" s="41" t="s">
        <v>43</v>
      </c>
      <c r="F1547" s="10" t="s">
        <v>332</v>
      </c>
      <c r="G1547" s="11">
        <v>100</v>
      </c>
      <c r="H1547" s="31">
        <v>135</v>
      </c>
      <c r="I1547" s="7"/>
      <c r="J1547" s="7">
        <f t="shared" si="602"/>
        <v>135</v>
      </c>
      <c r="K1547" s="7">
        <v>24.1</v>
      </c>
      <c r="L1547" s="7">
        <f t="shared" si="603"/>
        <v>159.1</v>
      </c>
      <c r="M1547" s="7">
        <v>2.4</v>
      </c>
      <c r="N1547" s="7">
        <v>161.5</v>
      </c>
      <c r="O1547" s="7">
        <v>161.5</v>
      </c>
      <c r="P1547" s="349">
        <v>161.5</v>
      </c>
      <c r="Q1547" s="257">
        <v>100</v>
      </c>
    </row>
    <row r="1548" spans="1:17" s="12" customFormat="1" ht="31.5">
      <c r="A1548" s="8" t="s">
        <v>361</v>
      </c>
      <c r="B1548" s="10" t="s">
        <v>514</v>
      </c>
      <c r="C1548" s="10" t="s">
        <v>11</v>
      </c>
      <c r="D1548" s="10" t="s">
        <v>16</v>
      </c>
      <c r="E1548" s="41" t="s">
        <v>43</v>
      </c>
      <c r="F1548" s="10" t="s">
        <v>333</v>
      </c>
      <c r="G1548" s="11">
        <v>241</v>
      </c>
      <c r="H1548" s="31">
        <v>315</v>
      </c>
      <c r="I1548" s="7"/>
      <c r="J1548" s="7">
        <f t="shared" si="602"/>
        <v>315</v>
      </c>
      <c r="K1548" s="7">
        <f>129+57.2</f>
        <v>186.2</v>
      </c>
      <c r="L1548" s="7">
        <f t="shared" si="603"/>
        <v>501.2</v>
      </c>
      <c r="M1548" s="7">
        <v>2.6</v>
      </c>
      <c r="N1548" s="7">
        <v>503.8</v>
      </c>
      <c r="O1548" s="7">
        <v>503.8</v>
      </c>
      <c r="P1548" s="349">
        <v>503.8</v>
      </c>
      <c r="Q1548" s="257">
        <v>100</v>
      </c>
    </row>
    <row r="1549" spans="1:17" s="12" customFormat="1">
      <c r="A1549" s="8" t="s">
        <v>362</v>
      </c>
      <c r="B1549" s="10" t="s">
        <v>514</v>
      </c>
      <c r="C1549" s="10" t="s">
        <v>11</v>
      </c>
      <c r="D1549" s="10" t="s">
        <v>16</v>
      </c>
      <c r="E1549" s="41" t="s">
        <v>43</v>
      </c>
      <c r="F1549" s="10" t="s">
        <v>334</v>
      </c>
      <c r="G1549" s="11">
        <v>-416</v>
      </c>
      <c r="H1549" s="31">
        <v>824.8</v>
      </c>
      <c r="I1549" s="7"/>
      <c r="J1549" s="7">
        <f t="shared" si="602"/>
        <v>824.8</v>
      </c>
      <c r="K1549" s="7">
        <f>131.2+10.1</f>
        <v>141.30000000000001</v>
      </c>
      <c r="L1549" s="7">
        <f t="shared" si="603"/>
        <v>966.1</v>
      </c>
      <c r="M1549" s="7"/>
      <c r="N1549" s="7">
        <v>966.1</v>
      </c>
      <c r="O1549" s="7">
        <v>966.1</v>
      </c>
      <c r="P1549" s="349">
        <v>957.6</v>
      </c>
      <c r="Q1549" s="257">
        <v>99.12</v>
      </c>
    </row>
    <row r="1550" spans="1:17" s="12" customFormat="1" ht="78.75">
      <c r="A1550" s="8" t="s">
        <v>428</v>
      </c>
      <c r="B1550" s="10" t="s">
        <v>514</v>
      </c>
      <c r="C1550" s="10" t="s">
        <v>11</v>
      </c>
      <c r="D1550" s="10" t="s">
        <v>16</v>
      </c>
      <c r="E1550" s="41" t="s">
        <v>43</v>
      </c>
      <c r="F1550" s="10" t="s">
        <v>427</v>
      </c>
      <c r="G1550" s="11"/>
      <c r="H1550" s="31"/>
      <c r="I1550" s="7"/>
      <c r="J1550" s="7"/>
      <c r="K1550" s="7">
        <f>2+188.4</f>
        <v>190.4</v>
      </c>
      <c r="L1550" s="7">
        <f t="shared" si="603"/>
        <v>190.4</v>
      </c>
      <c r="M1550" s="7">
        <v>2</v>
      </c>
      <c r="N1550" s="7">
        <v>192.4</v>
      </c>
      <c r="O1550" s="7">
        <v>192.4</v>
      </c>
      <c r="P1550" s="349">
        <v>192</v>
      </c>
      <c r="Q1550" s="257">
        <v>99.79</v>
      </c>
    </row>
    <row r="1551" spans="1:17" s="12" customFormat="1">
      <c r="A1551" s="8" t="s">
        <v>384</v>
      </c>
      <c r="B1551" s="10" t="s">
        <v>514</v>
      </c>
      <c r="C1551" s="10" t="s">
        <v>11</v>
      </c>
      <c r="D1551" s="10" t="s">
        <v>16</v>
      </c>
      <c r="E1551" s="41" t="s">
        <v>43</v>
      </c>
      <c r="F1551" s="10" t="s">
        <v>335</v>
      </c>
      <c r="G1551" s="11">
        <v>0</v>
      </c>
      <c r="H1551" s="31">
        <v>22.2</v>
      </c>
      <c r="I1551" s="7"/>
      <c r="J1551" s="7">
        <f t="shared" si="602"/>
        <v>22.2</v>
      </c>
      <c r="K1551" s="7">
        <v>-9</v>
      </c>
      <c r="L1551" s="7">
        <f t="shared" si="603"/>
        <v>13.2</v>
      </c>
      <c r="M1551" s="7">
        <f>-2</f>
        <v>-2</v>
      </c>
      <c r="N1551" s="7">
        <v>11.2</v>
      </c>
      <c r="O1551" s="7">
        <v>11.2</v>
      </c>
      <c r="P1551" s="349">
        <v>4.0999999999999996</v>
      </c>
      <c r="Q1551" s="257">
        <v>36.61</v>
      </c>
    </row>
    <row r="1552" spans="1:17" s="12" customFormat="1">
      <c r="A1552" s="8" t="s">
        <v>380</v>
      </c>
      <c r="B1552" s="10" t="s">
        <v>514</v>
      </c>
      <c r="C1552" s="10" t="s">
        <v>11</v>
      </c>
      <c r="D1552" s="10" t="s">
        <v>16</v>
      </c>
      <c r="E1552" s="41" t="s">
        <v>43</v>
      </c>
      <c r="F1552" s="10" t="s">
        <v>336</v>
      </c>
      <c r="G1552" s="11">
        <v>0</v>
      </c>
      <c r="H1552" s="31">
        <v>8.1999999999999993</v>
      </c>
      <c r="I1552" s="7"/>
      <c r="J1552" s="7">
        <f t="shared" si="602"/>
        <v>8.1999999999999993</v>
      </c>
      <c r="K1552" s="7">
        <v>-2</v>
      </c>
      <c r="L1552" s="7">
        <f t="shared" si="603"/>
        <v>6.2</v>
      </c>
      <c r="M1552" s="7">
        <v>-2.6</v>
      </c>
      <c r="N1552" s="7">
        <v>3.6</v>
      </c>
      <c r="O1552" s="7">
        <v>3.6</v>
      </c>
      <c r="P1552" s="349">
        <v>3.6</v>
      </c>
      <c r="Q1552" s="257">
        <v>100</v>
      </c>
    </row>
    <row r="1553" spans="1:17" s="12" customFormat="1">
      <c r="A1553" s="8" t="s">
        <v>17</v>
      </c>
      <c r="B1553" s="10" t="s">
        <v>514</v>
      </c>
      <c r="C1553" s="10" t="s">
        <v>11</v>
      </c>
      <c r="D1553" s="10" t="s">
        <v>16</v>
      </c>
      <c r="E1553" s="10" t="s">
        <v>18</v>
      </c>
      <c r="F1553" s="10"/>
      <c r="G1553" s="11"/>
      <c r="H1553" s="31"/>
      <c r="I1553" s="7"/>
      <c r="J1553" s="7">
        <f t="shared" ref="J1553:M1553" si="604">J1554</f>
        <v>0</v>
      </c>
      <c r="K1553" s="7">
        <f t="shared" si="604"/>
        <v>3000</v>
      </c>
      <c r="L1553" s="7">
        <f t="shared" si="604"/>
        <v>3000</v>
      </c>
      <c r="M1553" s="7">
        <f t="shared" si="604"/>
        <v>0</v>
      </c>
      <c r="N1553" s="7">
        <v>3000</v>
      </c>
      <c r="O1553" s="7">
        <v>3000</v>
      </c>
      <c r="P1553" s="349">
        <v>0</v>
      </c>
      <c r="Q1553" s="257">
        <v>0</v>
      </c>
    </row>
    <row r="1554" spans="1:17" s="12" customFormat="1" ht="31.5">
      <c r="A1554" s="8" t="s">
        <v>493</v>
      </c>
      <c r="B1554" s="10" t="s">
        <v>514</v>
      </c>
      <c r="C1554" s="10" t="s">
        <v>11</v>
      </c>
      <c r="D1554" s="10" t="s">
        <v>16</v>
      </c>
      <c r="E1554" s="34" t="s">
        <v>669</v>
      </c>
      <c r="F1554" s="10"/>
      <c r="G1554" s="11"/>
      <c r="H1554" s="31"/>
      <c r="I1554" s="7"/>
      <c r="J1554" s="7">
        <f t="shared" ref="J1554:M1554" si="605">J1555+J1556</f>
        <v>0</v>
      </c>
      <c r="K1554" s="7">
        <f t="shared" si="605"/>
        <v>3000</v>
      </c>
      <c r="L1554" s="7">
        <f t="shared" si="605"/>
        <v>3000</v>
      </c>
      <c r="M1554" s="7">
        <f t="shared" si="605"/>
        <v>0</v>
      </c>
      <c r="N1554" s="7">
        <v>3000</v>
      </c>
      <c r="O1554" s="7">
        <v>3000</v>
      </c>
      <c r="P1554" s="349">
        <v>0</v>
      </c>
      <c r="Q1554" s="257">
        <v>0</v>
      </c>
    </row>
    <row r="1555" spans="1:17" s="12" customFormat="1" ht="31.5">
      <c r="A1555" s="8" t="s">
        <v>361</v>
      </c>
      <c r="B1555" s="10" t="s">
        <v>514</v>
      </c>
      <c r="C1555" s="10" t="s">
        <v>11</v>
      </c>
      <c r="D1555" s="10" t="s">
        <v>16</v>
      </c>
      <c r="E1555" s="34" t="s">
        <v>669</v>
      </c>
      <c r="F1555" s="10" t="s">
        <v>333</v>
      </c>
      <c r="G1555" s="11"/>
      <c r="H1555" s="31"/>
      <c r="I1555" s="7"/>
      <c r="J1555" s="7"/>
      <c r="K1555" s="7">
        <f>2000+890</f>
        <v>2890</v>
      </c>
      <c r="L1555" s="7">
        <f>J1555+K1555</f>
        <v>2890</v>
      </c>
      <c r="M1555" s="7"/>
      <c r="N1555" s="7">
        <v>2890</v>
      </c>
      <c r="O1555" s="7">
        <v>2890</v>
      </c>
      <c r="P1555" s="349">
        <v>0</v>
      </c>
      <c r="Q1555" s="257">
        <v>0</v>
      </c>
    </row>
    <row r="1556" spans="1:17" s="12" customFormat="1">
      <c r="A1556" s="8" t="s">
        <v>362</v>
      </c>
      <c r="B1556" s="10" t="s">
        <v>514</v>
      </c>
      <c r="C1556" s="10" t="s">
        <v>11</v>
      </c>
      <c r="D1556" s="10" t="s">
        <v>16</v>
      </c>
      <c r="E1556" s="34" t="s">
        <v>669</v>
      </c>
      <c r="F1556" s="10" t="s">
        <v>334</v>
      </c>
      <c r="G1556" s="11"/>
      <c r="H1556" s="31"/>
      <c r="I1556" s="7"/>
      <c r="J1556" s="7"/>
      <c r="K1556" s="7">
        <v>110</v>
      </c>
      <c r="L1556" s="7">
        <f>J1556+K1556</f>
        <v>110</v>
      </c>
      <c r="M1556" s="7"/>
      <c r="N1556" s="7">
        <v>110</v>
      </c>
      <c r="O1556" s="7">
        <v>110</v>
      </c>
      <c r="P1556" s="349">
        <v>0</v>
      </c>
      <c r="Q1556" s="257">
        <v>0</v>
      </c>
    </row>
    <row r="1557" spans="1:17" s="30" customFormat="1">
      <c r="A1557" s="26" t="s">
        <v>8</v>
      </c>
      <c r="B1557" s="73">
        <v>915</v>
      </c>
      <c r="C1557" s="27" t="s">
        <v>9</v>
      </c>
      <c r="D1557" s="73"/>
      <c r="E1557" s="73"/>
      <c r="F1557" s="27"/>
      <c r="G1557" s="28">
        <v>154.30000000000001</v>
      </c>
      <c r="H1557" s="28">
        <v>154.30000000000001</v>
      </c>
      <c r="I1557" s="29">
        <f t="shared" ref="I1557:M1559" si="606">I1558</f>
        <v>0</v>
      </c>
      <c r="J1557" s="29">
        <f t="shared" si="606"/>
        <v>154.30000000000001</v>
      </c>
      <c r="K1557" s="29">
        <f t="shared" si="606"/>
        <v>-82.4</v>
      </c>
      <c r="L1557" s="29">
        <f t="shared" si="606"/>
        <v>71.900000000000006</v>
      </c>
      <c r="M1557" s="29">
        <f t="shared" si="606"/>
        <v>-2.4</v>
      </c>
      <c r="N1557" s="29">
        <v>69.5</v>
      </c>
      <c r="O1557" s="29">
        <v>69.5</v>
      </c>
      <c r="P1557" s="348">
        <v>69.5</v>
      </c>
      <c r="Q1557" s="256">
        <v>100</v>
      </c>
    </row>
    <row r="1558" spans="1:17" s="30" customFormat="1" ht="31.5">
      <c r="A1558" s="26" t="s">
        <v>75</v>
      </c>
      <c r="B1558" s="73">
        <v>915</v>
      </c>
      <c r="C1558" s="27" t="s">
        <v>9</v>
      </c>
      <c r="D1558" s="27" t="s">
        <v>31</v>
      </c>
      <c r="E1558" s="27"/>
      <c r="F1558" s="27"/>
      <c r="G1558" s="28">
        <v>154.30000000000001</v>
      </c>
      <c r="H1558" s="28">
        <v>154.30000000000001</v>
      </c>
      <c r="I1558" s="29">
        <f t="shared" si="606"/>
        <v>0</v>
      </c>
      <c r="J1558" s="29">
        <f t="shared" si="606"/>
        <v>154.30000000000001</v>
      </c>
      <c r="K1558" s="29">
        <f t="shared" si="606"/>
        <v>-82.4</v>
      </c>
      <c r="L1558" s="29">
        <f t="shared" si="606"/>
        <v>71.900000000000006</v>
      </c>
      <c r="M1558" s="29">
        <f t="shared" si="606"/>
        <v>-2.4</v>
      </c>
      <c r="N1558" s="29">
        <v>69.5</v>
      </c>
      <c r="O1558" s="29">
        <v>69.5</v>
      </c>
      <c r="P1558" s="348">
        <v>69.5</v>
      </c>
      <c r="Q1558" s="256">
        <v>100</v>
      </c>
    </row>
    <row r="1559" spans="1:17" s="12" customFormat="1">
      <c r="A1559" s="8" t="s">
        <v>343</v>
      </c>
      <c r="B1559" s="57">
        <v>915</v>
      </c>
      <c r="C1559" s="10" t="s">
        <v>9</v>
      </c>
      <c r="D1559" s="10" t="s">
        <v>31</v>
      </c>
      <c r="E1559" s="10" t="s">
        <v>342</v>
      </c>
      <c r="F1559" s="10"/>
      <c r="G1559" s="11">
        <v>154.30000000000001</v>
      </c>
      <c r="H1559" s="11">
        <v>154.30000000000001</v>
      </c>
      <c r="I1559" s="7">
        <f t="shared" si="606"/>
        <v>0</v>
      </c>
      <c r="J1559" s="7">
        <f t="shared" si="606"/>
        <v>154.30000000000001</v>
      </c>
      <c r="K1559" s="7">
        <f t="shared" si="606"/>
        <v>-82.4</v>
      </c>
      <c r="L1559" s="7">
        <f t="shared" si="606"/>
        <v>71.900000000000006</v>
      </c>
      <c r="M1559" s="7">
        <f t="shared" si="606"/>
        <v>-2.4</v>
      </c>
      <c r="N1559" s="7">
        <v>69.5</v>
      </c>
      <c r="O1559" s="7">
        <v>69.5</v>
      </c>
      <c r="P1559" s="349">
        <v>69.5</v>
      </c>
      <c r="Q1559" s="257">
        <v>100</v>
      </c>
    </row>
    <row r="1560" spans="1:17" s="12" customFormat="1" ht="31.5">
      <c r="A1560" s="8" t="s">
        <v>471</v>
      </c>
      <c r="B1560" s="57">
        <v>915</v>
      </c>
      <c r="C1560" s="10" t="s">
        <v>9</v>
      </c>
      <c r="D1560" s="10" t="s">
        <v>31</v>
      </c>
      <c r="E1560" s="10" t="s">
        <v>344</v>
      </c>
      <c r="F1560" s="10"/>
      <c r="G1560" s="11">
        <v>154.30000000000001</v>
      </c>
      <c r="H1560" s="11">
        <v>154.30000000000001</v>
      </c>
      <c r="I1560" s="7">
        <f t="shared" ref="I1560:M1560" si="607">I1561+I1562</f>
        <v>0</v>
      </c>
      <c r="J1560" s="7">
        <f t="shared" si="607"/>
        <v>154.30000000000001</v>
      </c>
      <c r="K1560" s="7">
        <f t="shared" si="607"/>
        <v>-82.4</v>
      </c>
      <c r="L1560" s="7">
        <f t="shared" si="607"/>
        <v>71.900000000000006</v>
      </c>
      <c r="M1560" s="7">
        <f t="shared" si="607"/>
        <v>-2.4</v>
      </c>
      <c r="N1560" s="7">
        <v>69.5</v>
      </c>
      <c r="O1560" s="7">
        <v>69.5</v>
      </c>
      <c r="P1560" s="349">
        <v>69.5</v>
      </c>
      <c r="Q1560" s="257">
        <v>100</v>
      </c>
    </row>
    <row r="1561" spans="1:17" s="12" customFormat="1">
      <c r="A1561" s="8" t="s">
        <v>356</v>
      </c>
      <c r="B1561" s="57">
        <v>915</v>
      </c>
      <c r="C1561" s="10" t="s">
        <v>9</v>
      </c>
      <c r="D1561" s="10" t="s">
        <v>31</v>
      </c>
      <c r="E1561" s="10" t="s">
        <v>344</v>
      </c>
      <c r="F1561" s="10" t="s">
        <v>332</v>
      </c>
      <c r="G1561" s="11">
        <v>64.3</v>
      </c>
      <c r="H1561" s="31">
        <v>64.3</v>
      </c>
      <c r="I1561" s="7"/>
      <c r="J1561" s="7">
        <f>H1561+I1561</f>
        <v>64.3</v>
      </c>
      <c r="K1561" s="7">
        <v>-28.8</v>
      </c>
      <c r="L1561" s="7">
        <f>J1561+K1561</f>
        <v>35.5</v>
      </c>
      <c r="M1561" s="7">
        <v>-2.4</v>
      </c>
      <c r="N1561" s="7">
        <v>33.1</v>
      </c>
      <c r="O1561" s="7">
        <v>33.1</v>
      </c>
      <c r="P1561" s="349">
        <v>33.1</v>
      </c>
      <c r="Q1561" s="257">
        <v>100</v>
      </c>
    </row>
    <row r="1562" spans="1:17" s="12" customFormat="1">
      <c r="A1562" s="8" t="s">
        <v>362</v>
      </c>
      <c r="B1562" s="57">
        <v>915</v>
      </c>
      <c r="C1562" s="10" t="s">
        <v>9</v>
      </c>
      <c r="D1562" s="10" t="s">
        <v>31</v>
      </c>
      <c r="E1562" s="10" t="s">
        <v>344</v>
      </c>
      <c r="F1562" s="41" t="s">
        <v>334</v>
      </c>
      <c r="G1562" s="11">
        <v>90</v>
      </c>
      <c r="H1562" s="31">
        <v>90</v>
      </c>
      <c r="I1562" s="7"/>
      <c r="J1562" s="7">
        <f>H1562+I1562</f>
        <v>90</v>
      </c>
      <c r="K1562" s="7">
        <v>-53.6</v>
      </c>
      <c r="L1562" s="7">
        <f>J1562+K1562</f>
        <v>36.4</v>
      </c>
      <c r="M1562" s="7"/>
      <c r="N1562" s="7">
        <v>36.4</v>
      </c>
      <c r="O1562" s="7">
        <v>36.4</v>
      </c>
      <c r="P1562" s="349">
        <v>36.4</v>
      </c>
      <c r="Q1562" s="257">
        <v>100</v>
      </c>
    </row>
    <row r="1563" spans="1:17" s="30" customFormat="1">
      <c r="A1563" s="408" t="s">
        <v>269</v>
      </c>
      <c r="B1563" s="409"/>
      <c r="C1563" s="409"/>
      <c r="D1563" s="409"/>
      <c r="E1563" s="409"/>
      <c r="F1563" s="409"/>
      <c r="G1563" s="28">
        <v>4891.8</v>
      </c>
      <c r="H1563" s="28">
        <v>14352.5</v>
      </c>
      <c r="I1563" s="29">
        <f t="shared" ref="I1563:M1564" si="608">I1564</f>
        <v>0</v>
      </c>
      <c r="J1563" s="29">
        <f t="shared" si="608"/>
        <v>14352.5</v>
      </c>
      <c r="K1563" s="29">
        <f t="shared" si="608"/>
        <v>2000</v>
      </c>
      <c r="L1563" s="29">
        <f t="shared" si="608"/>
        <v>16352.5</v>
      </c>
      <c r="M1563" s="29">
        <f t="shared" si="608"/>
        <v>0</v>
      </c>
      <c r="N1563" s="29">
        <v>16352.5</v>
      </c>
      <c r="O1563" s="29">
        <v>17552.5</v>
      </c>
      <c r="P1563" s="348">
        <v>17247.900000000001</v>
      </c>
      <c r="Q1563" s="256">
        <v>98.26</v>
      </c>
    </row>
    <row r="1564" spans="1:17" s="30" customFormat="1">
      <c r="A1564" s="26" t="s">
        <v>52</v>
      </c>
      <c r="B1564" s="27" t="s">
        <v>515</v>
      </c>
      <c r="C1564" s="27" t="s">
        <v>16</v>
      </c>
      <c r="D1564" s="27"/>
      <c r="E1564" s="27"/>
      <c r="F1564" s="27"/>
      <c r="G1564" s="28">
        <v>4891.8</v>
      </c>
      <c r="H1564" s="28">
        <v>14352.5</v>
      </c>
      <c r="I1564" s="29">
        <f t="shared" si="608"/>
        <v>0</v>
      </c>
      <c r="J1564" s="29">
        <f t="shared" si="608"/>
        <v>14352.5</v>
      </c>
      <c r="K1564" s="29">
        <f t="shared" si="608"/>
        <v>2000</v>
      </c>
      <c r="L1564" s="29">
        <f t="shared" si="608"/>
        <v>16352.5</v>
      </c>
      <c r="M1564" s="29">
        <f t="shared" si="608"/>
        <v>0</v>
      </c>
      <c r="N1564" s="29">
        <v>16352.5</v>
      </c>
      <c r="O1564" s="29">
        <v>17552.5</v>
      </c>
      <c r="P1564" s="348">
        <v>17247.900000000001</v>
      </c>
      <c r="Q1564" s="256">
        <v>98.26</v>
      </c>
    </row>
    <row r="1565" spans="1:17" s="30" customFormat="1">
      <c r="A1565" s="26" t="s">
        <v>270</v>
      </c>
      <c r="B1565" s="73">
        <v>916</v>
      </c>
      <c r="C1565" s="27" t="s">
        <v>16</v>
      </c>
      <c r="D1565" s="27" t="s">
        <v>9</v>
      </c>
      <c r="E1565" s="73"/>
      <c r="F1565" s="73"/>
      <c r="G1565" s="28">
        <v>4891.8</v>
      </c>
      <c r="H1565" s="28">
        <v>14352.5</v>
      </c>
      <c r="I1565" s="29">
        <f>I1566+I1573</f>
        <v>0</v>
      </c>
      <c r="J1565" s="29">
        <f>J1566+J1573</f>
        <v>14352.5</v>
      </c>
      <c r="K1565" s="29">
        <f>K1566+K1573</f>
        <v>2000</v>
      </c>
      <c r="L1565" s="29">
        <f>L1566+L1573</f>
        <v>16352.5</v>
      </c>
      <c r="M1565" s="29">
        <f>M1566+M1573</f>
        <v>0</v>
      </c>
      <c r="N1565" s="29">
        <v>16352.5</v>
      </c>
      <c r="O1565" s="29">
        <v>17552.5</v>
      </c>
      <c r="P1565" s="348">
        <v>17247.900000000001</v>
      </c>
      <c r="Q1565" s="256">
        <v>98.26</v>
      </c>
    </row>
    <row r="1566" spans="1:17" s="12" customFormat="1">
      <c r="A1566" s="8" t="s">
        <v>42</v>
      </c>
      <c r="B1566" s="57">
        <v>916</v>
      </c>
      <c r="C1566" s="10" t="s">
        <v>16</v>
      </c>
      <c r="D1566" s="10" t="s">
        <v>9</v>
      </c>
      <c r="E1566" s="10" t="s">
        <v>43</v>
      </c>
      <c r="F1566" s="57"/>
      <c r="G1566" s="11">
        <v>3891.8</v>
      </c>
      <c r="H1566" s="11">
        <v>13139.5</v>
      </c>
      <c r="I1566" s="7">
        <f t="shared" ref="I1566:M1566" si="609">I1567+I1568+I1569+I1570+I1571+I1572</f>
        <v>0</v>
      </c>
      <c r="J1566" s="7">
        <f t="shared" si="609"/>
        <v>13139.5</v>
      </c>
      <c r="K1566" s="7">
        <f t="shared" si="609"/>
        <v>2000</v>
      </c>
      <c r="L1566" s="7">
        <f t="shared" si="609"/>
        <v>15139.5</v>
      </c>
      <c r="M1566" s="7">
        <f t="shared" si="609"/>
        <v>0</v>
      </c>
      <c r="N1566" s="7">
        <v>15139.5</v>
      </c>
      <c r="O1566" s="7">
        <v>15139.5</v>
      </c>
      <c r="P1566" s="349">
        <v>14903.1</v>
      </c>
      <c r="Q1566" s="257">
        <v>98.44</v>
      </c>
    </row>
    <row r="1567" spans="1:17" s="12" customFormat="1">
      <c r="A1567" s="8" t="s">
        <v>337</v>
      </c>
      <c r="B1567" s="57">
        <v>916</v>
      </c>
      <c r="C1567" s="10" t="s">
        <v>16</v>
      </c>
      <c r="D1567" s="10" t="s">
        <v>9</v>
      </c>
      <c r="E1567" s="10" t="s">
        <v>43</v>
      </c>
      <c r="F1567" s="10" t="s">
        <v>331</v>
      </c>
      <c r="G1567" s="11">
        <v>3449.4</v>
      </c>
      <c r="H1567" s="31">
        <v>11391.4</v>
      </c>
      <c r="I1567" s="7"/>
      <c r="J1567" s="7">
        <f t="shared" ref="J1567:J1572" si="610">H1567+I1567</f>
        <v>11391.4</v>
      </c>
      <c r="K1567" s="7">
        <v>150.4</v>
      </c>
      <c r="L1567" s="7">
        <f t="shared" ref="L1567:L1572" si="611">J1567+K1567</f>
        <v>11541.8</v>
      </c>
      <c r="M1567" s="7"/>
      <c r="N1567" s="7">
        <v>11541.8</v>
      </c>
      <c r="O1567" s="7">
        <v>11541.8</v>
      </c>
      <c r="P1567" s="349">
        <v>11329.4</v>
      </c>
      <c r="Q1567" s="257">
        <v>98.16</v>
      </c>
    </row>
    <row r="1568" spans="1:17" s="12" customFormat="1">
      <c r="A1568" s="8" t="s">
        <v>356</v>
      </c>
      <c r="B1568" s="57">
        <v>916</v>
      </c>
      <c r="C1568" s="10" t="s">
        <v>16</v>
      </c>
      <c r="D1568" s="10" t="s">
        <v>9</v>
      </c>
      <c r="E1568" s="10" t="s">
        <v>43</v>
      </c>
      <c r="F1568" s="10" t="s">
        <v>332</v>
      </c>
      <c r="G1568" s="11">
        <v>30</v>
      </c>
      <c r="H1568" s="31">
        <v>60</v>
      </c>
      <c r="I1568" s="7">
        <v>40</v>
      </c>
      <c r="J1568" s="7">
        <f t="shared" si="610"/>
        <v>100</v>
      </c>
      <c r="K1568" s="7"/>
      <c r="L1568" s="7">
        <f t="shared" si="611"/>
        <v>100</v>
      </c>
      <c r="M1568" s="7">
        <v>-2.7</v>
      </c>
      <c r="N1568" s="7">
        <v>97.3</v>
      </c>
      <c r="O1568" s="7">
        <v>97.3</v>
      </c>
      <c r="P1568" s="349">
        <v>97.3</v>
      </c>
      <c r="Q1568" s="257">
        <v>100</v>
      </c>
    </row>
    <row r="1569" spans="1:17" s="12" customFormat="1" ht="31.5">
      <c r="A1569" s="8" t="s">
        <v>361</v>
      </c>
      <c r="B1569" s="57">
        <v>916</v>
      </c>
      <c r="C1569" s="10" t="s">
        <v>16</v>
      </c>
      <c r="D1569" s="10" t="s">
        <v>9</v>
      </c>
      <c r="E1569" s="10" t="s">
        <v>43</v>
      </c>
      <c r="F1569" s="10" t="s">
        <v>333</v>
      </c>
      <c r="G1569" s="11">
        <v>902.4</v>
      </c>
      <c r="H1569" s="31">
        <v>952.4</v>
      </c>
      <c r="I1569" s="7">
        <v>-40</v>
      </c>
      <c r="J1569" s="7">
        <f t="shared" si="610"/>
        <v>912.4</v>
      </c>
      <c r="K1569" s="7">
        <f>-100-290</f>
        <v>-390</v>
      </c>
      <c r="L1569" s="7">
        <f t="shared" si="611"/>
        <v>522.4</v>
      </c>
      <c r="M1569" s="7">
        <v>-0.1</v>
      </c>
      <c r="N1569" s="7">
        <v>522.29999999999995</v>
      </c>
      <c r="O1569" s="7">
        <v>522.29999999999995</v>
      </c>
      <c r="P1569" s="349">
        <v>522.29999999999995</v>
      </c>
      <c r="Q1569" s="257">
        <v>100</v>
      </c>
    </row>
    <row r="1570" spans="1:17" s="12" customFormat="1">
      <c r="A1570" s="8" t="s">
        <v>362</v>
      </c>
      <c r="B1570" s="57">
        <v>916</v>
      </c>
      <c r="C1570" s="10" t="s">
        <v>16</v>
      </c>
      <c r="D1570" s="10" t="s">
        <v>9</v>
      </c>
      <c r="E1570" s="10" t="s">
        <v>43</v>
      </c>
      <c r="F1570" s="10" t="s">
        <v>334</v>
      </c>
      <c r="G1570" s="11">
        <v>-476</v>
      </c>
      <c r="H1570" s="31">
        <v>707</v>
      </c>
      <c r="I1570" s="7"/>
      <c r="J1570" s="7">
        <f t="shared" si="610"/>
        <v>707</v>
      </c>
      <c r="K1570" s="7">
        <f>100+2000+290-150.4</f>
        <v>2239.6</v>
      </c>
      <c r="L1570" s="7">
        <f t="shared" si="611"/>
        <v>2946.6</v>
      </c>
      <c r="M1570" s="7">
        <v>2.8</v>
      </c>
      <c r="N1570" s="7">
        <v>2949.4</v>
      </c>
      <c r="O1570" s="7">
        <v>2949.4</v>
      </c>
      <c r="P1570" s="349">
        <v>2948.1</v>
      </c>
      <c r="Q1570" s="257">
        <v>99.96</v>
      </c>
    </row>
    <row r="1571" spans="1:17" s="12" customFormat="1">
      <c r="A1571" s="8" t="s">
        <v>384</v>
      </c>
      <c r="B1571" s="57">
        <v>916</v>
      </c>
      <c r="C1571" s="10" t="s">
        <v>16</v>
      </c>
      <c r="D1571" s="10" t="s">
        <v>9</v>
      </c>
      <c r="E1571" s="10" t="s">
        <v>43</v>
      </c>
      <c r="F1571" s="10" t="s">
        <v>335</v>
      </c>
      <c r="G1571" s="11">
        <v>-14</v>
      </c>
      <c r="H1571" s="31">
        <v>15.7</v>
      </c>
      <c r="I1571" s="7"/>
      <c r="J1571" s="7">
        <f t="shared" si="610"/>
        <v>15.7</v>
      </c>
      <c r="K1571" s="7"/>
      <c r="L1571" s="7">
        <f t="shared" si="611"/>
        <v>15.7</v>
      </c>
      <c r="M1571" s="7"/>
      <c r="N1571" s="7">
        <v>15.7</v>
      </c>
      <c r="O1571" s="7">
        <v>15.7</v>
      </c>
      <c r="P1571" s="349">
        <v>2.1</v>
      </c>
      <c r="Q1571" s="257">
        <v>13.38</v>
      </c>
    </row>
    <row r="1572" spans="1:17" s="12" customFormat="1">
      <c r="A1572" s="8" t="s">
        <v>380</v>
      </c>
      <c r="B1572" s="57">
        <v>916</v>
      </c>
      <c r="C1572" s="10" t="s">
        <v>16</v>
      </c>
      <c r="D1572" s="10" t="s">
        <v>9</v>
      </c>
      <c r="E1572" s="10" t="s">
        <v>43</v>
      </c>
      <c r="F1572" s="10" t="s">
        <v>336</v>
      </c>
      <c r="G1572" s="11">
        <v>0</v>
      </c>
      <c r="H1572" s="31">
        <v>13</v>
      </c>
      <c r="I1572" s="7"/>
      <c r="J1572" s="7">
        <f t="shared" si="610"/>
        <v>13</v>
      </c>
      <c r="K1572" s="7"/>
      <c r="L1572" s="7">
        <f t="shared" si="611"/>
        <v>13</v>
      </c>
      <c r="M1572" s="7"/>
      <c r="N1572" s="7">
        <v>13</v>
      </c>
      <c r="O1572" s="7">
        <v>13</v>
      </c>
      <c r="P1572" s="349">
        <v>3.9</v>
      </c>
      <c r="Q1572" s="257">
        <v>30</v>
      </c>
    </row>
    <row r="1573" spans="1:17" s="12" customFormat="1" ht="63">
      <c r="A1573" s="81" t="s">
        <v>582</v>
      </c>
      <c r="B1573" s="57">
        <v>916</v>
      </c>
      <c r="C1573" s="10" t="s">
        <v>16</v>
      </c>
      <c r="D1573" s="10" t="s">
        <v>9</v>
      </c>
      <c r="E1573" s="10" t="s">
        <v>271</v>
      </c>
      <c r="F1573" s="83"/>
      <c r="G1573" s="84">
        <v>1000</v>
      </c>
      <c r="H1573" s="84">
        <v>1213</v>
      </c>
      <c r="I1573" s="7">
        <f t="shared" ref="I1573:M1573" si="612">I1574+I1575</f>
        <v>0</v>
      </c>
      <c r="J1573" s="7">
        <f t="shared" si="612"/>
        <v>1213</v>
      </c>
      <c r="K1573" s="7">
        <f t="shared" si="612"/>
        <v>0</v>
      </c>
      <c r="L1573" s="7">
        <f t="shared" si="612"/>
        <v>1213</v>
      </c>
      <c r="M1573" s="7">
        <f t="shared" si="612"/>
        <v>0</v>
      </c>
      <c r="N1573" s="7">
        <v>1213</v>
      </c>
      <c r="O1573" s="7">
        <v>1213</v>
      </c>
      <c r="P1573" s="349">
        <v>1145.2</v>
      </c>
      <c r="Q1573" s="257">
        <v>94.41</v>
      </c>
    </row>
    <row r="1574" spans="1:17" s="12" customFormat="1">
      <c r="A1574" s="8" t="s">
        <v>356</v>
      </c>
      <c r="B1574" s="57">
        <v>916</v>
      </c>
      <c r="C1574" s="10" t="s">
        <v>16</v>
      </c>
      <c r="D1574" s="10" t="s">
        <v>9</v>
      </c>
      <c r="E1574" s="10" t="s">
        <v>271</v>
      </c>
      <c r="F1574" s="10" t="s">
        <v>332</v>
      </c>
      <c r="G1574" s="11">
        <v>102.3</v>
      </c>
      <c r="H1574" s="31">
        <v>102.3</v>
      </c>
      <c r="I1574" s="7"/>
      <c r="J1574" s="7">
        <f>H1574+I1574</f>
        <v>102.3</v>
      </c>
      <c r="K1574" s="7"/>
      <c r="L1574" s="7">
        <f>J1574+K1574</f>
        <v>102.3</v>
      </c>
      <c r="M1574" s="7">
        <v>-30.9</v>
      </c>
      <c r="N1574" s="7">
        <v>71.400000000000006</v>
      </c>
      <c r="O1574" s="7">
        <v>71.400000000000006</v>
      </c>
      <c r="P1574" s="349">
        <v>71.400000000000006</v>
      </c>
      <c r="Q1574" s="257">
        <v>100</v>
      </c>
    </row>
    <row r="1575" spans="1:17" s="12" customFormat="1">
      <c r="A1575" s="8" t="s">
        <v>362</v>
      </c>
      <c r="B1575" s="57">
        <v>916</v>
      </c>
      <c r="C1575" s="10" t="s">
        <v>16</v>
      </c>
      <c r="D1575" s="10" t="s">
        <v>9</v>
      </c>
      <c r="E1575" s="10" t="s">
        <v>271</v>
      </c>
      <c r="F1575" s="10" t="s">
        <v>334</v>
      </c>
      <c r="G1575" s="11">
        <v>897.7</v>
      </c>
      <c r="H1575" s="31">
        <v>1110.7</v>
      </c>
      <c r="I1575" s="7"/>
      <c r="J1575" s="7">
        <f>H1575+I1575</f>
        <v>1110.7</v>
      </c>
      <c r="K1575" s="7"/>
      <c r="L1575" s="7">
        <f>J1575+K1575</f>
        <v>1110.7</v>
      </c>
      <c r="M1575" s="7">
        <v>30.9</v>
      </c>
      <c r="N1575" s="7">
        <v>1141.5999999999999</v>
      </c>
      <c r="O1575" s="7">
        <v>1141.5999999999999</v>
      </c>
      <c r="P1575" s="349">
        <v>1073.8</v>
      </c>
      <c r="Q1575" s="257">
        <v>94.06</v>
      </c>
    </row>
    <row r="1576" spans="1:17" s="12" customFormat="1">
      <c r="A1576" s="8" t="s">
        <v>150</v>
      </c>
      <c r="B1576" s="57">
        <v>916</v>
      </c>
      <c r="C1576" s="10" t="s">
        <v>16</v>
      </c>
      <c r="D1576" s="10" t="s">
        <v>9</v>
      </c>
      <c r="E1576" s="10" t="s">
        <v>151</v>
      </c>
      <c r="F1576" s="10"/>
      <c r="G1576" s="11"/>
      <c r="H1576" s="31"/>
      <c r="I1576" s="7"/>
      <c r="J1576" s="7"/>
      <c r="K1576" s="7"/>
      <c r="L1576" s="7"/>
      <c r="M1576" s="7"/>
      <c r="N1576" s="7">
        <v>0</v>
      </c>
      <c r="O1576" s="7">
        <v>1200</v>
      </c>
      <c r="P1576" s="349">
        <v>1199.5999999999999</v>
      </c>
      <c r="Q1576" s="257">
        <v>99.97</v>
      </c>
    </row>
    <row r="1577" spans="1:17" s="12" customFormat="1">
      <c r="A1577" s="8" t="s">
        <v>362</v>
      </c>
      <c r="B1577" s="57">
        <v>916</v>
      </c>
      <c r="C1577" s="10" t="s">
        <v>16</v>
      </c>
      <c r="D1577" s="10" t="s">
        <v>9</v>
      </c>
      <c r="E1577" s="10" t="s">
        <v>151</v>
      </c>
      <c r="F1577" s="10" t="s">
        <v>334</v>
      </c>
      <c r="G1577" s="11"/>
      <c r="H1577" s="31"/>
      <c r="I1577" s="7"/>
      <c r="J1577" s="7"/>
      <c r="K1577" s="7"/>
      <c r="L1577" s="7"/>
      <c r="M1577" s="7"/>
      <c r="N1577" s="7">
        <v>0</v>
      </c>
      <c r="O1577" s="7">
        <v>1200</v>
      </c>
      <c r="P1577" s="349">
        <v>1199.5999999999999</v>
      </c>
      <c r="Q1577" s="257">
        <v>99.97</v>
      </c>
    </row>
    <row r="1578" spans="1:17" s="30" customFormat="1">
      <c r="A1578" s="408" t="s">
        <v>272</v>
      </c>
      <c r="B1578" s="409"/>
      <c r="C1578" s="409"/>
      <c r="D1578" s="409"/>
      <c r="E1578" s="409"/>
      <c r="F1578" s="409"/>
      <c r="G1578" s="28">
        <v>14019</v>
      </c>
      <c r="H1578" s="28">
        <v>95742</v>
      </c>
      <c r="I1578" s="29" t="e">
        <f>I1579+I1599</f>
        <v>#REF!</v>
      </c>
      <c r="J1578" s="29" t="e">
        <f>J1579+J1599</f>
        <v>#REF!</v>
      </c>
      <c r="K1578" s="29" t="e">
        <f>K1579+K1599</f>
        <v>#REF!</v>
      </c>
      <c r="L1578" s="29" t="e">
        <f>L1579+L1599</f>
        <v>#REF!</v>
      </c>
      <c r="M1578" s="29" t="e">
        <f>M1579+M1599</f>
        <v>#REF!</v>
      </c>
      <c r="N1578" s="29">
        <v>98312</v>
      </c>
      <c r="O1578" s="29">
        <v>98312</v>
      </c>
      <c r="P1578" s="348">
        <v>94061.8</v>
      </c>
      <c r="Q1578" s="256">
        <v>95.68</v>
      </c>
    </row>
    <row r="1579" spans="1:17" s="30" customFormat="1">
      <c r="A1579" s="26" t="s">
        <v>52</v>
      </c>
      <c r="B1579" s="73">
        <v>917</v>
      </c>
      <c r="C1579" s="27" t="s">
        <v>16</v>
      </c>
      <c r="D1579" s="27"/>
      <c r="E1579" s="27"/>
      <c r="F1579" s="27"/>
      <c r="G1579" s="28">
        <v>15420</v>
      </c>
      <c r="H1579" s="28">
        <v>95142</v>
      </c>
      <c r="I1579" s="29" t="e">
        <f t="shared" ref="I1579:M1579" si="613">I1580+I1590</f>
        <v>#REF!</v>
      </c>
      <c r="J1579" s="29" t="e">
        <f t="shared" si="613"/>
        <v>#REF!</v>
      </c>
      <c r="K1579" s="29" t="e">
        <f t="shared" si="613"/>
        <v>#REF!</v>
      </c>
      <c r="L1579" s="29" t="e">
        <f t="shared" si="613"/>
        <v>#REF!</v>
      </c>
      <c r="M1579" s="29" t="e">
        <f t="shared" si="613"/>
        <v>#REF!</v>
      </c>
      <c r="N1579" s="29">
        <v>97662</v>
      </c>
      <c r="O1579" s="29">
        <v>97662</v>
      </c>
      <c r="P1579" s="348">
        <v>93490.6</v>
      </c>
      <c r="Q1579" s="256">
        <v>95.73</v>
      </c>
    </row>
    <row r="1580" spans="1:17" s="30" customFormat="1" ht="47.25">
      <c r="A1580" s="26" t="s">
        <v>273</v>
      </c>
      <c r="B1580" s="73">
        <v>917</v>
      </c>
      <c r="C1580" s="27" t="s">
        <v>16</v>
      </c>
      <c r="D1580" s="27" t="s">
        <v>28</v>
      </c>
      <c r="E1580" s="27"/>
      <c r="F1580" s="27"/>
      <c r="G1580" s="28">
        <v>-31172.1</v>
      </c>
      <c r="H1580" s="28">
        <v>48549.9</v>
      </c>
      <c r="I1580" s="29" t="e">
        <f t="shared" ref="I1580:M1580" si="614">I1581</f>
        <v>#REF!</v>
      </c>
      <c r="J1580" s="29">
        <f t="shared" si="614"/>
        <v>48549.9</v>
      </c>
      <c r="K1580" s="29">
        <f t="shared" si="614"/>
        <v>-400</v>
      </c>
      <c r="L1580" s="29">
        <f t="shared" si="614"/>
        <v>48149.9</v>
      </c>
      <c r="M1580" s="29">
        <f t="shared" si="614"/>
        <v>0</v>
      </c>
      <c r="N1580" s="29">
        <v>48149.9</v>
      </c>
      <c r="O1580" s="29">
        <v>48149.9</v>
      </c>
      <c r="P1580" s="348">
        <v>46111.4</v>
      </c>
      <c r="Q1580" s="256">
        <v>95.77</v>
      </c>
    </row>
    <row r="1581" spans="1:17" s="12" customFormat="1" ht="47.25">
      <c r="A1581" s="8" t="s">
        <v>65</v>
      </c>
      <c r="B1581" s="57">
        <v>917</v>
      </c>
      <c r="C1581" s="10" t="s">
        <v>16</v>
      </c>
      <c r="D1581" s="10" t="s">
        <v>28</v>
      </c>
      <c r="E1581" s="41" t="s">
        <v>41</v>
      </c>
      <c r="F1581" s="10"/>
      <c r="G1581" s="11">
        <v>-31172.1</v>
      </c>
      <c r="H1581" s="11">
        <v>48549.9</v>
      </c>
      <c r="I1581" s="7" t="e">
        <f t="shared" ref="I1581:M1581" si="615">I1582+I1586+I1588</f>
        <v>#REF!</v>
      </c>
      <c r="J1581" s="7">
        <f t="shared" si="615"/>
        <v>48549.9</v>
      </c>
      <c r="K1581" s="7">
        <f t="shared" si="615"/>
        <v>-400</v>
      </c>
      <c r="L1581" s="7">
        <f t="shared" si="615"/>
        <v>48149.9</v>
      </c>
      <c r="M1581" s="7">
        <f t="shared" si="615"/>
        <v>0</v>
      </c>
      <c r="N1581" s="7">
        <v>48149.9</v>
      </c>
      <c r="O1581" s="7">
        <v>48149.9</v>
      </c>
      <c r="P1581" s="349">
        <v>46111.4</v>
      </c>
      <c r="Q1581" s="257">
        <v>95.77</v>
      </c>
    </row>
    <row r="1582" spans="1:17" s="12" customFormat="1">
      <c r="A1582" s="8" t="s">
        <v>42</v>
      </c>
      <c r="B1582" s="57">
        <v>917</v>
      </c>
      <c r="C1582" s="10" t="s">
        <v>16</v>
      </c>
      <c r="D1582" s="10" t="s">
        <v>28</v>
      </c>
      <c r="E1582" s="41" t="s">
        <v>43</v>
      </c>
      <c r="F1582" s="10"/>
      <c r="G1582" s="11">
        <v>-35598.199999999997</v>
      </c>
      <c r="H1582" s="11">
        <v>33781.800000000003</v>
      </c>
      <c r="I1582" s="7" t="e">
        <f>I1583+I1584+#REF!+I1585+#REF!+#REF!</f>
        <v>#REF!</v>
      </c>
      <c r="J1582" s="7">
        <f t="shared" ref="J1582:M1582" si="616">J1583+J1584+J1585</f>
        <v>33781.800000000003</v>
      </c>
      <c r="K1582" s="7">
        <f t="shared" si="616"/>
        <v>-400</v>
      </c>
      <c r="L1582" s="7">
        <f t="shared" si="616"/>
        <v>33381.800000000003</v>
      </c>
      <c r="M1582" s="7">
        <f t="shared" si="616"/>
        <v>0</v>
      </c>
      <c r="N1582" s="7">
        <v>33381.800000000003</v>
      </c>
      <c r="O1582" s="7">
        <v>33381.800000000003</v>
      </c>
      <c r="P1582" s="349">
        <v>32780.199999999997</v>
      </c>
      <c r="Q1582" s="257">
        <v>98.2</v>
      </c>
    </row>
    <row r="1583" spans="1:17" s="12" customFormat="1">
      <c r="A1583" s="8" t="s">
        <v>337</v>
      </c>
      <c r="B1583" s="57">
        <v>917</v>
      </c>
      <c r="C1583" s="10" t="s">
        <v>16</v>
      </c>
      <c r="D1583" s="10" t="s">
        <v>28</v>
      </c>
      <c r="E1583" s="41" t="s">
        <v>43</v>
      </c>
      <c r="F1583" s="10" t="s">
        <v>331</v>
      </c>
      <c r="G1583" s="11">
        <v>-9406.2000000000007</v>
      </c>
      <c r="H1583" s="31">
        <v>27051.8</v>
      </c>
      <c r="I1583" s="7"/>
      <c r="J1583" s="7">
        <f>H1583+I1583</f>
        <v>27051.8</v>
      </c>
      <c r="K1583" s="7">
        <v>570</v>
      </c>
      <c r="L1583" s="7">
        <f>J1583+K1583</f>
        <v>27621.8</v>
      </c>
      <c r="M1583" s="7"/>
      <c r="N1583" s="7">
        <v>27621.8</v>
      </c>
      <c r="O1583" s="7">
        <v>27621.8</v>
      </c>
      <c r="P1583" s="349">
        <v>27501.4</v>
      </c>
      <c r="Q1583" s="257">
        <v>99.56</v>
      </c>
    </row>
    <row r="1584" spans="1:17" s="12" customFormat="1">
      <c r="A1584" s="8" t="s">
        <v>356</v>
      </c>
      <c r="B1584" s="57">
        <v>917</v>
      </c>
      <c r="C1584" s="10" t="s">
        <v>16</v>
      </c>
      <c r="D1584" s="10" t="s">
        <v>28</v>
      </c>
      <c r="E1584" s="41" t="s">
        <v>43</v>
      </c>
      <c r="F1584" s="10" t="s">
        <v>332</v>
      </c>
      <c r="G1584" s="11">
        <v>-604.4</v>
      </c>
      <c r="H1584" s="31">
        <v>2650</v>
      </c>
      <c r="I1584" s="7"/>
      <c r="J1584" s="7">
        <f>H1584+I1584</f>
        <v>2650</v>
      </c>
      <c r="K1584" s="7">
        <v>-970</v>
      </c>
      <c r="L1584" s="7">
        <f>J1584+K1584</f>
        <v>1680</v>
      </c>
      <c r="M1584" s="7"/>
      <c r="N1584" s="7">
        <v>1680</v>
      </c>
      <c r="O1584" s="7">
        <v>1680</v>
      </c>
      <c r="P1584" s="349">
        <v>1360.8</v>
      </c>
      <c r="Q1584" s="257">
        <v>81</v>
      </c>
    </row>
    <row r="1585" spans="1:17" s="12" customFormat="1">
      <c r="A1585" s="8" t="s">
        <v>362</v>
      </c>
      <c r="B1585" s="57">
        <v>917</v>
      </c>
      <c r="C1585" s="10" t="s">
        <v>16</v>
      </c>
      <c r="D1585" s="10" t="s">
        <v>28</v>
      </c>
      <c r="E1585" s="41" t="s">
        <v>43</v>
      </c>
      <c r="F1585" s="10" t="s">
        <v>334</v>
      </c>
      <c r="G1585" s="11">
        <v>-22983.8</v>
      </c>
      <c r="H1585" s="31">
        <v>4080</v>
      </c>
      <c r="I1585" s="7"/>
      <c r="J1585" s="7">
        <f>H1585+I1585</f>
        <v>4080</v>
      </c>
      <c r="K1585" s="7"/>
      <c r="L1585" s="7">
        <f>J1585+K1585</f>
        <v>4080</v>
      </c>
      <c r="M1585" s="7"/>
      <c r="N1585" s="7">
        <v>4080</v>
      </c>
      <c r="O1585" s="7">
        <v>4080</v>
      </c>
      <c r="P1585" s="349">
        <v>3918</v>
      </c>
      <c r="Q1585" s="257">
        <v>96.03</v>
      </c>
    </row>
    <row r="1586" spans="1:17" s="12" customFormat="1" ht="31.5">
      <c r="A1586" s="8" t="s">
        <v>274</v>
      </c>
      <c r="B1586" s="57">
        <v>917</v>
      </c>
      <c r="C1586" s="10" t="s">
        <v>16</v>
      </c>
      <c r="D1586" s="10" t="s">
        <v>28</v>
      </c>
      <c r="E1586" s="41" t="s">
        <v>275</v>
      </c>
      <c r="F1586" s="10"/>
      <c r="G1586" s="11">
        <v>804.4</v>
      </c>
      <c r="H1586" s="31">
        <v>2638.4</v>
      </c>
      <c r="I1586" s="7">
        <f t="shared" ref="I1586:M1586" si="617">I1587</f>
        <v>0</v>
      </c>
      <c r="J1586" s="7">
        <f t="shared" si="617"/>
        <v>2638.4</v>
      </c>
      <c r="K1586" s="7">
        <f t="shared" si="617"/>
        <v>0</v>
      </c>
      <c r="L1586" s="7">
        <f t="shared" si="617"/>
        <v>2638.4</v>
      </c>
      <c r="M1586" s="7">
        <f t="shared" si="617"/>
        <v>0</v>
      </c>
      <c r="N1586" s="7">
        <v>2638.4</v>
      </c>
      <c r="O1586" s="7">
        <v>2638.4</v>
      </c>
      <c r="P1586" s="349">
        <v>2436.1999999999998</v>
      </c>
      <c r="Q1586" s="257">
        <v>92.34</v>
      </c>
    </row>
    <row r="1587" spans="1:17" s="12" customFormat="1">
      <c r="A1587" s="8" t="s">
        <v>337</v>
      </c>
      <c r="B1587" s="57">
        <v>917</v>
      </c>
      <c r="C1587" s="10" t="s">
        <v>16</v>
      </c>
      <c r="D1587" s="10" t="s">
        <v>28</v>
      </c>
      <c r="E1587" s="41" t="s">
        <v>275</v>
      </c>
      <c r="F1587" s="10" t="s">
        <v>331</v>
      </c>
      <c r="G1587" s="11">
        <v>804.4</v>
      </c>
      <c r="H1587" s="31">
        <v>2638.4</v>
      </c>
      <c r="I1587" s="7"/>
      <c r="J1587" s="7">
        <f>H1587+I1587</f>
        <v>2638.4</v>
      </c>
      <c r="K1587" s="7"/>
      <c r="L1587" s="7">
        <f>J1587+K1587</f>
        <v>2638.4</v>
      </c>
      <c r="M1587" s="7"/>
      <c r="N1587" s="7">
        <v>2638.4</v>
      </c>
      <c r="O1587" s="7">
        <v>2638.4</v>
      </c>
      <c r="P1587" s="349">
        <v>2436.1999999999998</v>
      </c>
      <c r="Q1587" s="257">
        <v>92.34</v>
      </c>
    </row>
    <row r="1588" spans="1:17" s="12" customFormat="1" ht="31.5">
      <c r="A1588" s="8" t="s">
        <v>276</v>
      </c>
      <c r="B1588" s="57">
        <v>917</v>
      </c>
      <c r="C1588" s="10" t="s">
        <v>16</v>
      </c>
      <c r="D1588" s="10" t="s">
        <v>28</v>
      </c>
      <c r="E1588" s="41" t="s">
        <v>277</v>
      </c>
      <c r="F1588" s="10"/>
      <c r="G1588" s="11">
        <v>3621.7</v>
      </c>
      <c r="H1588" s="11">
        <v>12129.7</v>
      </c>
      <c r="I1588" s="7">
        <f t="shared" ref="I1588:M1588" si="618">I1589</f>
        <v>0</v>
      </c>
      <c r="J1588" s="7">
        <f t="shared" si="618"/>
        <v>12129.7</v>
      </c>
      <c r="K1588" s="7">
        <f t="shared" si="618"/>
        <v>0</v>
      </c>
      <c r="L1588" s="7">
        <f t="shared" si="618"/>
        <v>12129.7</v>
      </c>
      <c r="M1588" s="7">
        <f t="shared" si="618"/>
        <v>0</v>
      </c>
      <c r="N1588" s="7">
        <v>12129.7</v>
      </c>
      <c r="O1588" s="7">
        <v>12129.7</v>
      </c>
      <c r="P1588" s="349">
        <v>10895</v>
      </c>
      <c r="Q1588" s="257">
        <v>89.82</v>
      </c>
    </row>
    <row r="1589" spans="1:17" s="12" customFormat="1">
      <c r="A1589" s="8" t="s">
        <v>337</v>
      </c>
      <c r="B1589" s="57">
        <v>917</v>
      </c>
      <c r="C1589" s="10" t="s">
        <v>16</v>
      </c>
      <c r="D1589" s="10" t="s">
        <v>28</v>
      </c>
      <c r="E1589" s="41" t="s">
        <v>277</v>
      </c>
      <c r="F1589" s="10" t="s">
        <v>331</v>
      </c>
      <c r="G1589" s="11">
        <v>3621.7</v>
      </c>
      <c r="H1589" s="31">
        <v>12129.7</v>
      </c>
      <c r="I1589" s="7"/>
      <c r="J1589" s="7">
        <f>H1589+I1589</f>
        <v>12129.7</v>
      </c>
      <c r="K1589" s="7"/>
      <c r="L1589" s="7">
        <f>J1589+K1589</f>
        <v>12129.7</v>
      </c>
      <c r="M1589" s="7"/>
      <c r="N1589" s="7">
        <v>12129.7</v>
      </c>
      <c r="O1589" s="7">
        <v>12129.7</v>
      </c>
      <c r="P1589" s="349">
        <v>10895</v>
      </c>
      <c r="Q1589" s="257">
        <v>89.82</v>
      </c>
    </row>
    <row r="1590" spans="1:17" s="30" customFormat="1">
      <c r="A1590" s="26" t="s">
        <v>53</v>
      </c>
      <c r="B1590" s="73">
        <v>917</v>
      </c>
      <c r="C1590" s="27" t="s">
        <v>16</v>
      </c>
      <c r="D1590" s="27" t="s">
        <v>54</v>
      </c>
      <c r="E1590" s="27"/>
      <c r="F1590" s="27"/>
      <c r="G1590" s="28">
        <v>46592.1</v>
      </c>
      <c r="H1590" s="28">
        <v>46592.1</v>
      </c>
      <c r="I1590" s="29" t="e">
        <f t="shared" ref="I1590:M1591" si="619">I1591</f>
        <v>#REF!</v>
      </c>
      <c r="J1590" s="29" t="e">
        <f t="shared" si="619"/>
        <v>#REF!</v>
      </c>
      <c r="K1590" s="29" t="e">
        <f t="shared" si="619"/>
        <v>#REF!</v>
      </c>
      <c r="L1590" s="29" t="e">
        <f t="shared" si="619"/>
        <v>#REF!</v>
      </c>
      <c r="M1590" s="29" t="e">
        <f t="shared" si="619"/>
        <v>#REF!</v>
      </c>
      <c r="N1590" s="29">
        <v>49512.1</v>
      </c>
      <c r="O1590" s="29">
        <v>49512.1</v>
      </c>
      <c r="P1590" s="348">
        <v>47379.199999999997</v>
      </c>
      <c r="Q1590" s="256">
        <v>95.69</v>
      </c>
    </row>
    <row r="1591" spans="1:17" s="12" customFormat="1">
      <c r="A1591" s="8" t="s">
        <v>363</v>
      </c>
      <c r="B1591" s="57">
        <v>917</v>
      </c>
      <c r="C1591" s="10" t="s">
        <v>16</v>
      </c>
      <c r="D1591" s="10" t="s">
        <v>54</v>
      </c>
      <c r="E1591" s="57" t="s">
        <v>364</v>
      </c>
      <c r="F1591" s="10"/>
      <c r="G1591" s="11">
        <v>46592.1</v>
      </c>
      <c r="H1591" s="11">
        <v>46592.1</v>
      </c>
      <c r="I1591" s="7" t="e">
        <f t="shared" si="619"/>
        <v>#REF!</v>
      </c>
      <c r="J1591" s="7" t="e">
        <f t="shared" si="619"/>
        <v>#REF!</v>
      </c>
      <c r="K1591" s="7" t="e">
        <f t="shared" si="619"/>
        <v>#REF!</v>
      </c>
      <c r="L1591" s="7" t="e">
        <f t="shared" si="619"/>
        <v>#REF!</v>
      </c>
      <c r="M1591" s="7" t="e">
        <f t="shared" si="619"/>
        <v>#REF!</v>
      </c>
      <c r="N1591" s="7">
        <v>49512.1</v>
      </c>
      <c r="O1591" s="7">
        <v>49512.1</v>
      </c>
      <c r="P1591" s="349">
        <v>47379.199999999997</v>
      </c>
      <c r="Q1591" s="257">
        <v>95.69</v>
      </c>
    </row>
    <row r="1592" spans="1:17" s="12" customFormat="1" ht="47.25">
      <c r="A1592" s="8" t="s">
        <v>550</v>
      </c>
      <c r="B1592" s="57">
        <v>917</v>
      </c>
      <c r="C1592" s="10" t="s">
        <v>16</v>
      </c>
      <c r="D1592" s="10" t="s">
        <v>54</v>
      </c>
      <c r="E1592" s="57" t="s">
        <v>538</v>
      </c>
      <c r="F1592" s="10"/>
      <c r="G1592" s="11">
        <v>46592.1</v>
      </c>
      <c r="H1592" s="11">
        <v>46592.1</v>
      </c>
      <c r="I1592" s="7" t="e">
        <f>I1593+I1594+#REF!+I1595+I1597+I1598</f>
        <v>#REF!</v>
      </c>
      <c r="J1592" s="7" t="e">
        <f>J1593+J1594+#REF!+J1595+J1597+J1598+J1596</f>
        <v>#REF!</v>
      </c>
      <c r="K1592" s="7" t="e">
        <f>K1593+K1594+#REF!+K1595+K1597+K1598+K1596</f>
        <v>#REF!</v>
      </c>
      <c r="L1592" s="7" t="e">
        <f>L1593+L1594+#REF!+L1595+L1597+L1598+L1596</f>
        <v>#REF!</v>
      </c>
      <c r="M1592" s="7" t="e">
        <f>M1593+M1594+#REF!+M1595+M1597+M1598+M1596</f>
        <v>#REF!</v>
      </c>
      <c r="N1592" s="7">
        <v>49512.1</v>
      </c>
      <c r="O1592" s="7">
        <v>49512.1</v>
      </c>
      <c r="P1592" s="349">
        <v>47379.199999999997</v>
      </c>
      <c r="Q1592" s="257">
        <v>95.69</v>
      </c>
    </row>
    <row r="1593" spans="1:17" s="12" customFormat="1">
      <c r="A1593" s="8" t="s">
        <v>337</v>
      </c>
      <c r="B1593" s="57">
        <v>917</v>
      </c>
      <c r="C1593" s="10" t="s">
        <v>16</v>
      </c>
      <c r="D1593" s="10" t="s">
        <v>54</v>
      </c>
      <c r="E1593" s="57" t="s">
        <v>538</v>
      </c>
      <c r="F1593" s="10" t="s">
        <v>347</v>
      </c>
      <c r="G1593" s="11">
        <v>12133.9</v>
      </c>
      <c r="H1593" s="31">
        <v>12133.9</v>
      </c>
      <c r="I1593" s="7"/>
      <c r="J1593" s="7">
        <f t="shared" ref="J1593:J1598" si="620">H1593+I1593</f>
        <v>12133.9</v>
      </c>
      <c r="K1593" s="7"/>
      <c r="L1593" s="7">
        <f t="shared" ref="L1593:L1598" si="621">J1593+K1593</f>
        <v>12133.9</v>
      </c>
      <c r="M1593" s="7"/>
      <c r="N1593" s="7">
        <v>12133.9</v>
      </c>
      <c r="O1593" s="7">
        <v>12133.9</v>
      </c>
      <c r="P1593" s="349">
        <v>12063.4</v>
      </c>
      <c r="Q1593" s="257">
        <v>99.42</v>
      </c>
    </row>
    <row r="1594" spans="1:17" s="12" customFormat="1" ht="31.5">
      <c r="A1594" s="8" t="s">
        <v>361</v>
      </c>
      <c r="B1594" s="57">
        <v>917</v>
      </c>
      <c r="C1594" s="10" t="s">
        <v>16</v>
      </c>
      <c r="D1594" s="10" t="s">
        <v>54</v>
      </c>
      <c r="E1594" s="57" t="s">
        <v>538</v>
      </c>
      <c r="F1594" s="10" t="s">
        <v>333</v>
      </c>
      <c r="G1594" s="11">
        <v>2992</v>
      </c>
      <c r="H1594" s="31">
        <v>2992</v>
      </c>
      <c r="I1594" s="7"/>
      <c r="J1594" s="7">
        <f t="shared" si="620"/>
        <v>2992</v>
      </c>
      <c r="K1594" s="7">
        <v>-250</v>
      </c>
      <c r="L1594" s="7">
        <f t="shared" si="621"/>
        <v>2742</v>
      </c>
      <c r="M1594" s="7">
        <v>-50</v>
      </c>
      <c r="N1594" s="7">
        <v>2692</v>
      </c>
      <c r="O1594" s="7">
        <v>2692</v>
      </c>
      <c r="P1594" s="349">
        <v>2389.5</v>
      </c>
      <c r="Q1594" s="257">
        <v>88.76</v>
      </c>
    </row>
    <row r="1595" spans="1:17" s="12" customFormat="1">
      <c r="A1595" s="8" t="s">
        <v>362</v>
      </c>
      <c r="B1595" s="57">
        <v>917</v>
      </c>
      <c r="C1595" s="10" t="s">
        <v>16</v>
      </c>
      <c r="D1595" s="10" t="s">
        <v>54</v>
      </c>
      <c r="E1595" s="57" t="s">
        <v>538</v>
      </c>
      <c r="F1595" s="10" t="s">
        <v>334</v>
      </c>
      <c r="G1595" s="11">
        <v>26881.200000000001</v>
      </c>
      <c r="H1595" s="31">
        <v>26881.200000000001</v>
      </c>
      <c r="I1595" s="7"/>
      <c r="J1595" s="7">
        <f t="shared" si="620"/>
        <v>26881.200000000001</v>
      </c>
      <c r="K1595" s="7">
        <v>1220</v>
      </c>
      <c r="L1595" s="7">
        <f t="shared" si="621"/>
        <v>28101.200000000001</v>
      </c>
      <c r="M1595" s="7">
        <v>-99</v>
      </c>
      <c r="N1595" s="7">
        <v>28002.2</v>
      </c>
      <c r="O1595" s="7">
        <v>28002.2</v>
      </c>
      <c r="P1595" s="349">
        <v>26326.799999999999</v>
      </c>
      <c r="Q1595" s="257">
        <v>94.02</v>
      </c>
    </row>
    <row r="1596" spans="1:17" s="12" customFormat="1" ht="47.25">
      <c r="A1596" s="8" t="s">
        <v>663</v>
      </c>
      <c r="B1596" s="57">
        <v>917</v>
      </c>
      <c r="C1596" s="10" t="s">
        <v>16</v>
      </c>
      <c r="D1596" s="10" t="s">
        <v>54</v>
      </c>
      <c r="E1596" s="57" t="s">
        <v>538</v>
      </c>
      <c r="F1596" s="10" t="s">
        <v>386</v>
      </c>
      <c r="G1596" s="11"/>
      <c r="H1596" s="31"/>
      <c r="I1596" s="7"/>
      <c r="J1596" s="7"/>
      <c r="K1596" s="7">
        <f>3000+2000</f>
        <v>5000</v>
      </c>
      <c r="L1596" s="7">
        <f t="shared" si="621"/>
        <v>5000</v>
      </c>
      <c r="M1596" s="7">
        <v>99</v>
      </c>
      <c r="N1596" s="7">
        <v>5099</v>
      </c>
      <c r="O1596" s="7">
        <v>5099</v>
      </c>
      <c r="P1596" s="349">
        <v>5099</v>
      </c>
      <c r="Q1596" s="257">
        <v>100</v>
      </c>
    </row>
    <row r="1597" spans="1:17" s="12" customFormat="1">
      <c r="A1597" s="8" t="s">
        <v>384</v>
      </c>
      <c r="B1597" s="57">
        <v>917</v>
      </c>
      <c r="C1597" s="10" t="s">
        <v>16</v>
      </c>
      <c r="D1597" s="10" t="s">
        <v>54</v>
      </c>
      <c r="E1597" s="57" t="s">
        <v>538</v>
      </c>
      <c r="F1597" s="10" t="s">
        <v>335</v>
      </c>
      <c r="G1597" s="11">
        <v>1435</v>
      </c>
      <c r="H1597" s="31">
        <v>1435</v>
      </c>
      <c r="I1597" s="7"/>
      <c r="J1597" s="7">
        <f t="shared" si="620"/>
        <v>1435</v>
      </c>
      <c r="K1597" s="7"/>
      <c r="L1597" s="7">
        <f t="shared" si="621"/>
        <v>1435</v>
      </c>
      <c r="M1597" s="7"/>
      <c r="N1597" s="7">
        <v>1435</v>
      </c>
      <c r="O1597" s="7">
        <v>1435</v>
      </c>
      <c r="P1597" s="349">
        <v>1370.1</v>
      </c>
      <c r="Q1597" s="257">
        <v>95.48</v>
      </c>
    </row>
    <row r="1598" spans="1:17" s="12" customFormat="1">
      <c r="A1598" s="8" t="s">
        <v>380</v>
      </c>
      <c r="B1598" s="57">
        <v>917</v>
      </c>
      <c r="C1598" s="10" t="s">
        <v>16</v>
      </c>
      <c r="D1598" s="10" t="s">
        <v>54</v>
      </c>
      <c r="E1598" s="57" t="s">
        <v>538</v>
      </c>
      <c r="F1598" s="10" t="s">
        <v>336</v>
      </c>
      <c r="G1598" s="11">
        <v>150</v>
      </c>
      <c r="H1598" s="31">
        <v>150</v>
      </c>
      <c r="I1598" s="7"/>
      <c r="J1598" s="7">
        <f t="shared" si="620"/>
        <v>150</v>
      </c>
      <c r="K1598" s="7"/>
      <c r="L1598" s="7">
        <f t="shared" si="621"/>
        <v>150</v>
      </c>
      <c r="M1598" s="7"/>
      <c r="N1598" s="7">
        <v>150</v>
      </c>
      <c r="O1598" s="7">
        <v>150</v>
      </c>
      <c r="P1598" s="349">
        <v>130.4</v>
      </c>
      <c r="Q1598" s="257">
        <v>86.93</v>
      </c>
    </row>
    <row r="1599" spans="1:17" s="30" customFormat="1">
      <c r="A1599" s="26" t="s">
        <v>8</v>
      </c>
      <c r="B1599" s="73">
        <v>917</v>
      </c>
      <c r="C1599" s="27" t="s">
        <v>9</v>
      </c>
      <c r="D1599" s="73"/>
      <c r="E1599" s="73"/>
      <c r="F1599" s="27"/>
      <c r="G1599" s="28">
        <v>-1401</v>
      </c>
      <c r="H1599" s="28">
        <v>600</v>
      </c>
      <c r="I1599" s="29">
        <f t="shared" ref="I1599:M1601" si="622">I1600</f>
        <v>0</v>
      </c>
      <c r="J1599" s="29">
        <f t="shared" si="622"/>
        <v>600</v>
      </c>
      <c r="K1599" s="29">
        <f t="shared" si="622"/>
        <v>0</v>
      </c>
      <c r="L1599" s="29">
        <f t="shared" si="622"/>
        <v>600</v>
      </c>
      <c r="M1599" s="29">
        <f t="shared" si="622"/>
        <v>50</v>
      </c>
      <c r="N1599" s="29">
        <v>650</v>
      </c>
      <c r="O1599" s="29">
        <v>650</v>
      </c>
      <c r="P1599" s="348">
        <v>571.20000000000005</v>
      </c>
      <c r="Q1599" s="256">
        <v>87.88</v>
      </c>
    </row>
    <row r="1600" spans="1:17" s="30" customFormat="1" ht="31.5">
      <c r="A1600" s="26" t="s">
        <v>75</v>
      </c>
      <c r="B1600" s="73">
        <v>917</v>
      </c>
      <c r="C1600" s="27" t="s">
        <v>9</v>
      </c>
      <c r="D1600" s="27" t="s">
        <v>31</v>
      </c>
      <c r="E1600" s="27"/>
      <c r="F1600" s="27"/>
      <c r="G1600" s="28">
        <v>-1401</v>
      </c>
      <c r="H1600" s="28">
        <v>600</v>
      </c>
      <c r="I1600" s="29">
        <f t="shared" si="622"/>
        <v>0</v>
      </c>
      <c r="J1600" s="29">
        <f t="shared" si="622"/>
        <v>600</v>
      </c>
      <c r="K1600" s="29">
        <f t="shared" si="622"/>
        <v>0</v>
      </c>
      <c r="L1600" s="29">
        <f t="shared" si="622"/>
        <v>600</v>
      </c>
      <c r="M1600" s="29">
        <f t="shared" si="622"/>
        <v>50</v>
      </c>
      <c r="N1600" s="29">
        <v>650</v>
      </c>
      <c r="O1600" s="29">
        <v>650</v>
      </c>
      <c r="P1600" s="348">
        <v>571.20000000000005</v>
      </c>
      <c r="Q1600" s="256">
        <v>87.88</v>
      </c>
    </row>
    <row r="1601" spans="1:17" s="12" customFormat="1">
      <c r="A1601" s="8" t="s">
        <v>343</v>
      </c>
      <c r="B1601" s="57">
        <v>917</v>
      </c>
      <c r="C1601" s="10" t="s">
        <v>9</v>
      </c>
      <c r="D1601" s="10" t="s">
        <v>31</v>
      </c>
      <c r="E1601" s="10" t="s">
        <v>342</v>
      </c>
      <c r="F1601" s="10"/>
      <c r="G1601" s="11">
        <v>-1401</v>
      </c>
      <c r="H1601" s="11">
        <v>600</v>
      </c>
      <c r="I1601" s="7">
        <f t="shared" si="622"/>
        <v>0</v>
      </c>
      <c r="J1601" s="7">
        <f t="shared" si="622"/>
        <v>600</v>
      </c>
      <c r="K1601" s="7">
        <f t="shared" si="622"/>
        <v>0</v>
      </c>
      <c r="L1601" s="7">
        <f t="shared" si="622"/>
        <v>600</v>
      </c>
      <c r="M1601" s="7">
        <f t="shared" si="622"/>
        <v>50</v>
      </c>
      <c r="N1601" s="7">
        <v>650</v>
      </c>
      <c r="O1601" s="7">
        <v>650</v>
      </c>
      <c r="P1601" s="349">
        <v>571.20000000000005</v>
      </c>
      <c r="Q1601" s="257">
        <v>87.88</v>
      </c>
    </row>
    <row r="1602" spans="1:17" s="12" customFormat="1" ht="31.5">
      <c r="A1602" s="8" t="s">
        <v>471</v>
      </c>
      <c r="B1602" s="57">
        <v>917</v>
      </c>
      <c r="C1602" s="10" t="s">
        <v>9</v>
      </c>
      <c r="D1602" s="10" t="s">
        <v>31</v>
      </c>
      <c r="E1602" s="10" t="s">
        <v>344</v>
      </c>
      <c r="F1602" s="10"/>
      <c r="G1602" s="11">
        <v>-1401</v>
      </c>
      <c r="H1602" s="11">
        <v>600</v>
      </c>
      <c r="I1602" s="7">
        <f t="shared" ref="I1602:M1602" si="623">I1603+I1604</f>
        <v>0</v>
      </c>
      <c r="J1602" s="7">
        <f t="shared" si="623"/>
        <v>600</v>
      </c>
      <c r="K1602" s="7">
        <f t="shared" si="623"/>
        <v>0</v>
      </c>
      <c r="L1602" s="7">
        <f t="shared" si="623"/>
        <v>600</v>
      </c>
      <c r="M1602" s="7">
        <f t="shared" si="623"/>
        <v>50</v>
      </c>
      <c r="N1602" s="7">
        <v>650</v>
      </c>
      <c r="O1602" s="7">
        <v>650</v>
      </c>
      <c r="P1602" s="349">
        <v>571.20000000000005</v>
      </c>
      <c r="Q1602" s="257">
        <v>87.88</v>
      </c>
    </row>
    <row r="1603" spans="1:17" s="12" customFormat="1">
      <c r="A1603" s="8" t="s">
        <v>356</v>
      </c>
      <c r="B1603" s="57">
        <v>917</v>
      </c>
      <c r="C1603" s="10" t="s">
        <v>9</v>
      </c>
      <c r="D1603" s="10" t="s">
        <v>31</v>
      </c>
      <c r="E1603" s="10" t="s">
        <v>344</v>
      </c>
      <c r="F1603" s="10" t="s">
        <v>332</v>
      </c>
      <c r="G1603" s="11">
        <v>-915</v>
      </c>
      <c r="H1603" s="31">
        <v>365</v>
      </c>
      <c r="I1603" s="7"/>
      <c r="J1603" s="7">
        <f>H1603+I1603</f>
        <v>365</v>
      </c>
      <c r="K1603" s="7">
        <v>-88</v>
      </c>
      <c r="L1603" s="7">
        <f>J1603+K1603</f>
        <v>277</v>
      </c>
      <c r="M1603" s="7"/>
      <c r="N1603" s="7">
        <v>277</v>
      </c>
      <c r="O1603" s="7">
        <v>277</v>
      </c>
      <c r="P1603" s="349">
        <v>202.9</v>
      </c>
      <c r="Q1603" s="257">
        <v>73.25</v>
      </c>
    </row>
    <row r="1604" spans="1:17" s="12" customFormat="1">
      <c r="A1604" s="8" t="s">
        <v>362</v>
      </c>
      <c r="B1604" s="57">
        <v>917</v>
      </c>
      <c r="C1604" s="10" t="s">
        <v>9</v>
      </c>
      <c r="D1604" s="10" t="s">
        <v>31</v>
      </c>
      <c r="E1604" s="10" t="s">
        <v>344</v>
      </c>
      <c r="F1604" s="41" t="s">
        <v>334</v>
      </c>
      <c r="G1604" s="11">
        <v>-486</v>
      </c>
      <c r="H1604" s="31">
        <v>235</v>
      </c>
      <c r="I1604" s="7"/>
      <c r="J1604" s="7">
        <f>H1604+I1604</f>
        <v>235</v>
      </c>
      <c r="K1604" s="7">
        <v>88</v>
      </c>
      <c r="L1604" s="7">
        <f>J1604+K1604</f>
        <v>323</v>
      </c>
      <c r="M1604" s="7">
        <v>50</v>
      </c>
      <c r="N1604" s="7">
        <v>373</v>
      </c>
      <c r="O1604" s="7">
        <v>373</v>
      </c>
      <c r="P1604" s="349">
        <v>368.3</v>
      </c>
      <c r="Q1604" s="257">
        <v>98.74</v>
      </c>
    </row>
    <row r="1605" spans="1:17" s="30" customFormat="1">
      <c r="A1605" s="408" t="s">
        <v>278</v>
      </c>
      <c r="B1605" s="409"/>
      <c r="C1605" s="409"/>
      <c r="D1605" s="409"/>
      <c r="E1605" s="409"/>
      <c r="F1605" s="409"/>
      <c r="G1605" s="28">
        <v>29559.1</v>
      </c>
      <c r="H1605" s="28">
        <v>227603.5</v>
      </c>
      <c r="I1605" s="29" t="e">
        <f t="shared" ref="I1605:M1605" si="624">I1606+I1669+I1679+I1685+I1674</f>
        <v>#REF!</v>
      </c>
      <c r="J1605" s="29">
        <f t="shared" si="624"/>
        <v>248122.7</v>
      </c>
      <c r="K1605" s="29">
        <f t="shared" si="624"/>
        <v>6101.3</v>
      </c>
      <c r="L1605" s="29">
        <f t="shared" si="624"/>
        <v>254224</v>
      </c>
      <c r="M1605" s="29">
        <f t="shared" si="624"/>
        <v>2464.8000000000002</v>
      </c>
      <c r="N1605" s="29">
        <v>256688.8</v>
      </c>
      <c r="O1605" s="29">
        <v>256688.8</v>
      </c>
      <c r="P1605" s="348">
        <v>249047.3</v>
      </c>
      <c r="Q1605" s="256">
        <v>97.02</v>
      </c>
    </row>
    <row r="1606" spans="1:17" s="30" customFormat="1">
      <c r="A1606" s="26" t="s">
        <v>52</v>
      </c>
      <c r="B1606" s="73">
        <v>918</v>
      </c>
      <c r="C1606" s="27" t="s">
        <v>279</v>
      </c>
      <c r="D1606" s="73"/>
      <c r="E1606" s="73"/>
      <c r="F1606" s="73"/>
      <c r="G1606" s="28">
        <v>29151.9</v>
      </c>
      <c r="H1606" s="28">
        <v>211618.6</v>
      </c>
      <c r="I1606" s="29" t="e">
        <f t="shared" ref="I1606:M1606" si="625">I1617+I1628+I1639+I1607</f>
        <v>#REF!</v>
      </c>
      <c r="J1606" s="29">
        <f t="shared" si="625"/>
        <v>221455.6</v>
      </c>
      <c r="K1606" s="29">
        <f t="shared" si="625"/>
        <v>5601.3</v>
      </c>
      <c r="L1606" s="29">
        <f t="shared" si="625"/>
        <v>227056.9</v>
      </c>
      <c r="M1606" s="29">
        <f t="shared" si="625"/>
        <v>616.6</v>
      </c>
      <c r="N1606" s="29">
        <v>227673.5</v>
      </c>
      <c r="O1606" s="29">
        <v>227673.5</v>
      </c>
      <c r="P1606" s="348">
        <v>220299.4</v>
      </c>
      <c r="Q1606" s="256">
        <v>96.76</v>
      </c>
    </row>
    <row r="1607" spans="1:17" s="30" customFormat="1" ht="47.25">
      <c r="A1607" s="67" t="s">
        <v>273</v>
      </c>
      <c r="B1607" s="73">
        <v>918</v>
      </c>
      <c r="C1607" s="73" t="s">
        <v>279</v>
      </c>
      <c r="D1607" s="27" t="s">
        <v>28</v>
      </c>
      <c r="E1607" s="73"/>
      <c r="F1607" s="73"/>
      <c r="G1607" s="28"/>
      <c r="H1607" s="28">
        <f t="shared" ref="H1607:M1607" si="626">H1608+H1613</f>
        <v>0</v>
      </c>
      <c r="I1607" s="28">
        <f t="shared" si="626"/>
        <v>3746</v>
      </c>
      <c r="J1607" s="28">
        <f t="shared" si="626"/>
        <v>3746</v>
      </c>
      <c r="K1607" s="28">
        <f t="shared" si="626"/>
        <v>0</v>
      </c>
      <c r="L1607" s="28">
        <f t="shared" si="626"/>
        <v>3746</v>
      </c>
      <c r="M1607" s="28">
        <f t="shared" si="626"/>
        <v>173.1</v>
      </c>
      <c r="N1607" s="28">
        <v>3919.1</v>
      </c>
      <c r="O1607" s="72">
        <v>3919.1</v>
      </c>
      <c r="P1607" s="348">
        <v>3910.3</v>
      </c>
      <c r="Q1607" s="256">
        <v>99.78</v>
      </c>
    </row>
    <row r="1608" spans="1:17" s="30" customFormat="1">
      <c r="A1608" s="9" t="s">
        <v>1052</v>
      </c>
      <c r="B1608" s="57">
        <v>918</v>
      </c>
      <c r="C1608" s="10" t="s">
        <v>16</v>
      </c>
      <c r="D1608" s="10" t="s">
        <v>28</v>
      </c>
      <c r="E1608" s="10" t="s">
        <v>794</v>
      </c>
      <c r="F1608" s="10"/>
      <c r="G1608" s="11"/>
      <c r="H1608" s="11">
        <f t="shared" ref="H1608:M1608" si="627">H1609+H1610+H1611+H1612</f>
        <v>0</v>
      </c>
      <c r="I1608" s="11">
        <f t="shared" si="627"/>
        <v>1466.8</v>
      </c>
      <c r="J1608" s="11">
        <f t="shared" si="627"/>
        <v>1466.8</v>
      </c>
      <c r="K1608" s="11">
        <f t="shared" si="627"/>
        <v>0</v>
      </c>
      <c r="L1608" s="11">
        <f t="shared" si="627"/>
        <v>1466.8</v>
      </c>
      <c r="M1608" s="11">
        <f t="shared" si="627"/>
        <v>173.1</v>
      </c>
      <c r="N1608" s="11">
        <v>1639.9</v>
      </c>
      <c r="O1608" s="52">
        <v>1639.9</v>
      </c>
      <c r="P1608" s="349">
        <v>1635.6</v>
      </c>
      <c r="Q1608" s="257">
        <v>99.74</v>
      </c>
    </row>
    <row r="1609" spans="1:17" s="30" customFormat="1">
      <c r="A1609" s="8" t="s">
        <v>337</v>
      </c>
      <c r="B1609" s="57">
        <v>918</v>
      </c>
      <c r="C1609" s="10" t="s">
        <v>16</v>
      </c>
      <c r="D1609" s="10" t="s">
        <v>28</v>
      </c>
      <c r="E1609" s="10" t="s">
        <v>794</v>
      </c>
      <c r="F1609" s="10" t="s">
        <v>331</v>
      </c>
      <c r="G1609" s="11"/>
      <c r="H1609" s="11"/>
      <c r="I1609" s="7">
        <v>1053</v>
      </c>
      <c r="J1609" s="7">
        <f>H1609+I1609</f>
        <v>1053</v>
      </c>
      <c r="K1609" s="7"/>
      <c r="L1609" s="7">
        <f>J1609+K1609</f>
        <v>1053</v>
      </c>
      <c r="M1609" s="7">
        <f>8.9+173.1+24</f>
        <v>206</v>
      </c>
      <c r="N1609" s="7">
        <v>1259</v>
      </c>
      <c r="O1609" s="7">
        <v>1259</v>
      </c>
      <c r="P1609" s="349">
        <v>1259</v>
      </c>
      <c r="Q1609" s="257">
        <v>100</v>
      </c>
    </row>
    <row r="1610" spans="1:17" s="30" customFormat="1">
      <c r="A1610" s="8" t="s">
        <v>356</v>
      </c>
      <c r="B1610" s="57">
        <v>918</v>
      </c>
      <c r="C1610" s="10" t="s">
        <v>16</v>
      </c>
      <c r="D1610" s="10" t="s">
        <v>28</v>
      </c>
      <c r="E1610" s="10" t="s">
        <v>794</v>
      </c>
      <c r="F1610" s="10" t="s">
        <v>332</v>
      </c>
      <c r="G1610" s="11"/>
      <c r="H1610" s="11"/>
      <c r="I1610" s="7">
        <v>125</v>
      </c>
      <c r="J1610" s="7">
        <f>H1610+I1610</f>
        <v>125</v>
      </c>
      <c r="K1610" s="7"/>
      <c r="L1610" s="7">
        <f>J1610+K1610</f>
        <v>125</v>
      </c>
      <c r="M1610" s="7">
        <f>-1.7-15.2</f>
        <v>-16.899999999999999</v>
      </c>
      <c r="N1610" s="7">
        <v>108.1</v>
      </c>
      <c r="O1610" s="7">
        <v>108.1</v>
      </c>
      <c r="P1610" s="349">
        <v>108.1</v>
      </c>
      <c r="Q1610" s="257">
        <v>100</v>
      </c>
    </row>
    <row r="1611" spans="1:17" s="30" customFormat="1" ht="31.5">
      <c r="A1611" s="8" t="s">
        <v>361</v>
      </c>
      <c r="B1611" s="57">
        <v>918</v>
      </c>
      <c r="C1611" s="10" t="s">
        <v>16</v>
      </c>
      <c r="D1611" s="10" t="s">
        <v>28</v>
      </c>
      <c r="E1611" s="10" t="s">
        <v>794</v>
      </c>
      <c r="F1611" s="10" t="s">
        <v>333</v>
      </c>
      <c r="G1611" s="11"/>
      <c r="H1611" s="11"/>
      <c r="I1611" s="7">
        <v>130</v>
      </c>
      <c r="J1611" s="7">
        <f>H1611+I1611</f>
        <v>130</v>
      </c>
      <c r="K1611" s="7"/>
      <c r="L1611" s="7">
        <f>J1611+K1611</f>
        <v>130</v>
      </c>
      <c r="M1611" s="7">
        <f>-7.2-8.8</f>
        <v>-16</v>
      </c>
      <c r="N1611" s="7">
        <v>114</v>
      </c>
      <c r="O1611" s="7">
        <v>114</v>
      </c>
      <c r="P1611" s="349">
        <v>109.7</v>
      </c>
      <c r="Q1611" s="257">
        <v>96.23</v>
      </c>
    </row>
    <row r="1612" spans="1:17" s="30" customFormat="1">
      <c r="A1612" s="8" t="s">
        <v>362</v>
      </c>
      <c r="B1612" s="57">
        <v>918</v>
      </c>
      <c r="C1612" s="10" t="s">
        <v>16</v>
      </c>
      <c r="D1612" s="10" t="s">
        <v>28</v>
      </c>
      <c r="E1612" s="10" t="s">
        <v>794</v>
      </c>
      <c r="F1612" s="10" t="s">
        <v>334</v>
      </c>
      <c r="G1612" s="11"/>
      <c r="H1612" s="11"/>
      <c r="I1612" s="7">
        <v>158.80000000000001</v>
      </c>
      <c r="J1612" s="7">
        <f>H1612+I1612</f>
        <v>158.80000000000001</v>
      </c>
      <c r="K1612" s="7"/>
      <c r="L1612" s="7">
        <f>J1612+K1612</f>
        <v>158.80000000000001</v>
      </c>
      <c r="M1612" s="7"/>
      <c r="N1612" s="7">
        <v>158.80000000000001</v>
      </c>
      <c r="O1612" s="7">
        <v>158.80000000000001</v>
      </c>
      <c r="P1612" s="349">
        <v>158.80000000000001</v>
      </c>
      <c r="Q1612" s="257">
        <v>100</v>
      </c>
    </row>
    <row r="1613" spans="1:17" s="30" customFormat="1">
      <c r="A1613" s="9" t="s">
        <v>1053</v>
      </c>
      <c r="B1613" s="57">
        <v>918</v>
      </c>
      <c r="C1613" s="10" t="s">
        <v>16</v>
      </c>
      <c r="D1613" s="10" t="s">
        <v>28</v>
      </c>
      <c r="E1613" s="10" t="s">
        <v>795</v>
      </c>
      <c r="F1613" s="10"/>
      <c r="G1613" s="11"/>
      <c r="H1613" s="11">
        <f t="shared" ref="H1613:M1613" si="628">H1614+H1615+H1616</f>
        <v>0</v>
      </c>
      <c r="I1613" s="52">
        <f t="shared" si="628"/>
        <v>2279.1999999999998</v>
      </c>
      <c r="J1613" s="52">
        <f t="shared" si="628"/>
        <v>2279.1999999999998</v>
      </c>
      <c r="K1613" s="52">
        <f t="shared" si="628"/>
        <v>0</v>
      </c>
      <c r="L1613" s="52">
        <f t="shared" si="628"/>
        <v>2279.1999999999998</v>
      </c>
      <c r="M1613" s="52">
        <f t="shared" si="628"/>
        <v>0</v>
      </c>
      <c r="N1613" s="52">
        <v>2279.1999999999998</v>
      </c>
      <c r="O1613" s="52">
        <v>2279.1999999999998</v>
      </c>
      <c r="P1613" s="349">
        <v>2274.6999999999998</v>
      </c>
      <c r="Q1613" s="257">
        <v>99.8</v>
      </c>
    </row>
    <row r="1614" spans="1:17" s="30" customFormat="1">
      <c r="A1614" s="8" t="s">
        <v>337</v>
      </c>
      <c r="B1614" s="57">
        <v>918</v>
      </c>
      <c r="C1614" s="10" t="s">
        <v>16</v>
      </c>
      <c r="D1614" s="10" t="s">
        <v>28</v>
      </c>
      <c r="E1614" s="10" t="s">
        <v>795</v>
      </c>
      <c r="F1614" s="10" t="s">
        <v>331</v>
      </c>
      <c r="G1614" s="11"/>
      <c r="H1614" s="11"/>
      <c r="I1614" s="7">
        <v>1779.2</v>
      </c>
      <c r="J1614" s="7">
        <f>H1614+I1614</f>
        <v>1779.2</v>
      </c>
      <c r="K1614" s="7"/>
      <c r="L1614" s="7">
        <f>J1614+K1614</f>
        <v>1779.2</v>
      </c>
      <c r="M1614" s="7">
        <f>45.6+36</f>
        <v>81.599999999999994</v>
      </c>
      <c r="N1614" s="7">
        <v>1860.8</v>
      </c>
      <c r="O1614" s="7">
        <v>1860.8</v>
      </c>
      <c r="P1614" s="349">
        <v>1860.8</v>
      </c>
      <c r="Q1614" s="257">
        <v>100</v>
      </c>
    </row>
    <row r="1615" spans="1:17" s="30" customFormat="1" ht="31.5">
      <c r="A1615" s="8" t="s">
        <v>361</v>
      </c>
      <c r="B1615" s="57">
        <v>918</v>
      </c>
      <c r="C1615" s="10" t="s">
        <v>16</v>
      </c>
      <c r="D1615" s="10" t="s">
        <v>28</v>
      </c>
      <c r="E1615" s="10" t="s">
        <v>795</v>
      </c>
      <c r="F1615" s="10" t="s">
        <v>333</v>
      </c>
      <c r="G1615" s="11"/>
      <c r="H1615" s="11"/>
      <c r="I1615" s="7">
        <v>126.5</v>
      </c>
      <c r="J1615" s="7">
        <f>H1615+I1615</f>
        <v>126.5</v>
      </c>
      <c r="K1615" s="7">
        <v>6.5</v>
      </c>
      <c r="L1615" s="7">
        <f>J1615+K1615</f>
        <v>133</v>
      </c>
      <c r="M1615" s="7">
        <v>-30.1</v>
      </c>
      <c r="N1615" s="7">
        <v>102.9</v>
      </c>
      <c r="O1615" s="7">
        <v>102.9</v>
      </c>
      <c r="P1615" s="349">
        <v>98.4</v>
      </c>
      <c r="Q1615" s="257">
        <v>95.63</v>
      </c>
    </row>
    <row r="1616" spans="1:17" s="30" customFormat="1">
      <c r="A1616" s="8" t="s">
        <v>362</v>
      </c>
      <c r="B1616" s="57">
        <v>918</v>
      </c>
      <c r="C1616" s="10" t="s">
        <v>16</v>
      </c>
      <c r="D1616" s="10" t="s">
        <v>28</v>
      </c>
      <c r="E1616" s="10" t="s">
        <v>795</v>
      </c>
      <c r="F1616" s="10" t="s">
        <v>334</v>
      </c>
      <c r="G1616" s="11"/>
      <c r="H1616" s="11"/>
      <c r="I1616" s="7">
        <v>373.5</v>
      </c>
      <c r="J1616" s="7">
        <f>H1616+I1616</f>
        <v>373.5</v>
      </c>
      <c r="K1616" s="7">
        <v>-6.5</v>
      </c>
      <c r="L1616" s="7">
        <f>J1616+K1616</f>
        <v>367</v>
      </c>
      <c r="M1616" s="7">
        <f>-45.6-5.9</f>
        <v>-51.5</v>
      </c>
      <c r="N1616" s="7">
        <v>315.5</v>
      </c>
      <c r="O1616" s="7">
        <v>315.5</v>
      </c>
      <c r="P1616" s="349">
        <v>315.5</v>
      </c>
      <c r="Q1616" s="257">
        <v>100</v>
      </c>
    </row>
    <row r="1617" spans="1:17" s="30" customFormat="1" ht="47.25">
      <c r="A1617" s="26" t="s">
        <v>280</v>
      </c>
      <c r="B1617" s="73">
        <v>918</v>
      </c>
      <c r="C1617" s="73" t="s">
        <v>279</v>
      </c>
      <c r="D1617" s="27" t="s">
        <v>11</v>
      </c>
      <c r="E1617" s="73"/>
      <c r="F1617" s="73"/>
      <c r="G1617" s="28">
        <v>6260.3</v>
      </c>
      <c r="H1617" s="28">
        <v>78359.3</v>
      </c>
      <c r="I1617" s="29" t="e">
        <f t="shared" ref="I1617:M1617" si="629">I1618</f>
        <v>#REF!</v>
      </c>
      <c r="J1617" s="29">
        <f t="shared" si="629"/>
        <v>79127.3</v>
      </c>
      <c r="K1617" s="29">
        <f t="shared" si="629"/>
        <v>-29.1</v>
      </c>
      <c r="L1617" s="29">
        <f t="shared" si="629"/>
        <v>79098.2</v>
      </c>
      <c r="M1617" s="29">
        <f t="shared" si="629"/>
        <v>-1756.5</v>
      </c>
      <c r="N1617" s="29">
        <v>77341.7</v>
      </c>
      <c r="O1617" s="29">
        <v>77341.7</v>
      </c>
      <c r="P1617" s="348">
        <v>74059.7</v>
      </c>
      <c r="Q1617" s="256">
        <v>95.76</v>
      </c>
    </row>
    <row r="1618" spans="1:17" s="12" customFormat="1" ht="47.25">
      <c r="A1618" s="8" t="s">
        <v>65</v>
      </c>
      <c r="B1618" s="57">
        <v>918</v>
      </c>
      <c r="C1618" s="57" t="s">
        <v>279</v>
      </c>
      <c r="D1618" s="10" t="s">
        <v>11</v>
      </c>
      <c r="E1618" s="41" t="s">
        <v>41</v>
      </c>
      <c r="F1618" s="57"/>
      <c r="G1618" s="11">
        <v>6260.3</v>
      </c>
      <c r="H1618" s="11">
        <v>78359.3</v>
      </c>
      <c r="I1618" s="7" t="e">
        <f t="shared" ref="I1618:M1618" si="630">I1619+I1626</f>
        <v>#REF!</v>
      </c>
      <c r="J1618" s="7">
        <f t="shared" si="630"/>
        <v>79127.3</v>
      </c>
      <c r="K1618" s="7">
        <f t="shared" si="630"/>
        <v>-29.1</v>
      </c>
      <c r="L1618" s="7">
        <f t="shared" si="630"/>
        <v>79098.2</v>
      </c>
      <c r="M1618" s="7">
        <f t="shared" si="630"/>
        <v>-1756.5</v>
      </c>
      <c r="N1618" s="7">
        <v>77341.7</v>
      </c>
      <c r="O1618" s="7">
        <v>77341.7</v>
      </c>
      <c r="P1618" s="349">
        <v>74059.7</v>
      </c>
      <c r="Q1618" s="257">
        <v>95.76</v>
      </c>
    </row>
    <row r="1619" spans="1:17" s="12" customFormat="1">
      <c r="A1619" s="8" t="s">
        <v>42</v>
      </c>
      <c r="B1619" s="57">
        <v>918</v>
      </c>
      <c r="C1619" s="57" t="s">
        <v>279</v>
      </c>
      <c r="D1619" s="10" t="s">
        <v>11</v>
      </c>
      <c r="E1619" s="41" t="s">
        <v>43</v>
      </c>
      <c r="F1619" s="57"/>
      <c r="G1619" s="11">
        <v>2335.1</v>
      </c>
      <c r="H1619" s="11">
        <v>65265.1</v>
      </c>
      <c r="I1619" s="7" t="e">
        <f>I1620+I1621+I1622+I1623+#REF!+I1625+I1624</f>
        <v>#REF!</v>
      </c>
      <c r="J1619" s="7">
        <f t="shared" ref="J1619:M1619" si="631">J1620+J1621+J1622+J1623+J1625+J1624</f>
        <v>66033.100000000006</v>
      </c>
      <c r="K1619" s="7">
        <f t="shared" si="631"/>
        <v>-29.1</v>
      </c>
      <c r="L1619" s="7">
        <f t="shared" si="631"/>
        <v>66004</v>
      </c>
      <c r="M1619" s="7">
        <f t="shared" si="631"/>
        <v>-1848.2</v>
      </c>
      <c r="N1619" s="7">
        <v>64155.8</v>
      </c>
      <c r="O1619" s="7">
        <v>64155.8</v>
      </c>
      <c r="P1619" s="349">
        <v>61207.8</v>
      </c>
      <c r="Q1619" s="257">
        <v>95.4</v>
      </c>
    </row>
    <row r="1620" spans="1:17" s="12" customFormat="1">
      <c r="A1620" s="8" t="s">
        <v>337</v>
      </c>
      <c r="B1620" s="57">
        <v>918</v>
      </c>
      <c r="C1620" s="57" t="s">
        <v>279</v>
      </c>
      <c r="D1620" s="10" t="s">
        <v>11</v>
      </c>
      <c r="E1620" s="41" t="s">
        <v>43</v>
      </c>
      <c r="F1620" s="10" t="s">
        <v>331</v>
      </c>
      <c r="G1620" s="11">
        <v>6575.1</v>
      </c>
      <c r="H1620" s="31">
        <v>49379.1</v>
      </c>
      <c r="I1620" s="7">
        <v>768</v>
      </c>
      <c r="J1620" s="7">
        <f t="shared" ref="J1620:J1625" si="632">H1620+I1620</f>
        <v>50147.1</v>
      </c>
      <c r="K1620" s="7">
        <f>-447.2+107.2+418.1+1265.2</f>
        <v>1343.3</v>
      </c>
      <c r="L1620" s="7">
        <f t="shared" ref="L1620:L1625" si="633">J1620+K1620</f>
        <v>51490.400000000001</v>
      </c>
      <c r="M1620" s="7"/>
      <c r="N1620" s="7">
        <v>51490.400000000001</v>
      </c>
      <c r="O1620" s="7">
        <v>51490.400000000001</v>
      </c>
      <c r="P1620" s="349">
        <v>51467.1</v>
      </c>
      <c r="Q1620" s="257">
        <v>99.95</v>
      </c>
    </row>
    <row r="1621" spans="1:17" s="12" customFormat="1">
      <c r="A1621" s="8" t="s">
        <v>356</v>
      </c>
      <c r="B1621" s="57">
        <v>918</v>
      </c>
      <c r="C1621" s="57" t="s">
        <v>279</v>
      </c>
      <c r="D1621" s="10" t="s">
        <v>11</v>
      </c>
      <c r="E1621" s="41" t="s">
        <v>43</v>
      </c>
      <c r="F1621" s="10" t="s">
        <v>332</v>
      </c>
      <c r="G1621" s="11">
        <v>-4840</v>
      </c>
      <c r="H1621" s="31">
        <v>13270</v>
      </c>
      <c r="I1621" s="7">
        <v>-12</v>
      </c>
      <c r="J1621" s="7">
        <f t="shared" si="632"/>
        <v>13258</v>
      </c>
      <c r="K1621" s="7">
        <f>-107.2-600</f>
        <v>-707.2</v>
      </c>
      <c r="L1621" s="7">
        <f t="shared" si="633"/>
        <v>12550.8</v>
      </c>
      <c r="M1621" s="7">
        <v>-1270.2</v>
      </c>
      <c r="N1621" s="7">
        <v>11280.6</v>
      </c>
      <c r="O1621" s="7">
        <v>11280.6</v>
      </c>
      <c r="P1621" s="349">
        <v>8412.6</v>
      </c>
      <c r="Q1621" s="257">
        <v>74.58</v>
      </c>
    </row>
    <row r="1622" spans="1:17" s="12" customFormat="1" ht="31.5">
      <c r="A1622" s="8" t="s">
        <v>361</v>
      </c>
      <c r="B1622" s="57">
        <v>918</v>
      </c>
      <c r="C1622" s="57" t="s">
        <v>279</v>
      </c>
      <c r="D1622" s="10" t="s">
        <v>11</v>
      </c>
      <c r="E1622" s="41" t="s">
        <v>43</v>
      </c>
      <c r="F1622" s="10" t="s">
        <v>333</v>
      </c>
      <c r="G1622" s="11">
        <v>100</v>
      </c>
      <c r="H1622" s="31">
        <v>100</v>
      </c>
      <c r="I1622" s="7"/>
      <c r="J1622" s="7">
        <f t="shared" si="632"/>
        <v>100</v>
      </c>
      <c r="K1622" s="7"/>
      <c r="L1622" s="7">
        <f t="shared" si="633"/>
        <v>100</v>
      </c>
      <c r="M1622" s="7">
        <v>-70</v>
      </c>
      <c r="N1622" s="7">
        <v>30</v>
      </c>
      <c r="O1622" s="7">
        <v>30</v>
      </c>
      <c r="P1622" s="349">
        <v>28.4</v>
      </c>
      <c r="Q1622" s="257">
        <v>94.67</v>
      </c>
    </row>
    <row r="1623" spans="1:17" s="12" customFormat="1">
      <c r="A1623" s="8" t="s">
        <v>362</v>
      </c>
      <c r="B1623" s="57">
        <v>918</v>
      </c>
      <c r="C1623" s="57" t="s">
        <v>279</v>
      </c>
      <c r="D1623" s="10" t="s">
        <v>11</v>
      </c>
      <c r="E1623" s="41" t="s">
        <v>43</v>
      </c>
      <c r="F1623" s="10" t="s">
        <v>334</v>
      </c>
      <c r="G1623" s="11">
        <v>500</v>
      </c>
      <c r="H1623" s="31">
        <v>2500</v>
      </c>
      <c r="I1623" s="7"/>
      <c r="J1623" s="7">
        <f t="shared" si="632"/>
        <v>2500</v>
      </c>
      <c r="K1623" s="7">
        <f>-665.2</f>
        <v>-665.2</v>
      </c>
      <c r="L1623" s="7">
        <f t="shared" si="633"/>
        <v>1834.8</v>
      </c>
      <c r="M1623" s="7">
        <v>-508</v>
      </c>
      <c r="N1623" s="7">
        <v>1326.8</v>
      </c>
      <c r="O1623" s="7">
        <v>1326.8</v>
      </c>
      <c r="P1623" s="349">
        <v>1299.0999999999999</v>
      </c>
      <c r="Q1623" s="257">
        <v>97.91</v>
      </c>
    </row>
    <row r="1624" spans="1:17" s="12" customFormat="1" ht="31.5">
      <c r="A1624" s="8" t="s">
        <v>586</v>
      </c>
      <c r="B1624" s="57">
        <v>918</v>
      </c>
      <c r="C1624" s="57" t="s">
        <v>279</v>
      </c>
      <c r="D1624" s="10" t="s">
        <v>11</v>
      </c>
      <c r="E1624" s="41" t="s">
        <v>43</v>
      </c>
      <c r="F1624" s="10" t="s">
        <v>368</v>
      </c>
      <c r="G1624" s="11"/>
      <c r="H1624" s="31"/>
      <c r="I1624" s="7">
        <v>12</v>
      </c>
      <c r="J1624" s="7">
        <f t="shared" si="632"/>
        <v>12</v>
      </c>
      <c r="K1624" s="7"/>
      <c r="L1624" s="7">
        <f t="shared" si="633"/>
        <v>12</v>
      </c>
      <c r="M1624" s="7"/>
      <c r="N1624" s="7">
        <v>12</v>
      </c>
      <c r="O1624" s="7">
        <v>12</v>
      </c>
      <c r="P1624" s="349">
        <v>0</v>
      </c>
      <c r="Q1624" s="257">
        <v>0</v>
      </c>
    </row>
    <row r="1625" spans="1:17" s="12" customFormat="1">
      <c r="A1625" s="8" t="s">
        <v>380</v>
      </c>
      <c r="B1625" s="57">
        <v>918</v>
      </c>
      <c r="C1625" s="57" t="s">
        <v>279</v>
      </c>
      <c r="D1625" s="10" t="s">
        <v>11</v>
      </c>
      <c r="E1625" s="41" t="s">
        <v>43</v>
      </c>
      <c r="F1625" s="10" t="s">
        <v>336</v>
      </c>
      <c r="G1625" s="11">
        <v>16</v>
      </c>
      <c r="H1625" s="31">
        <v>16</v>
      </c>
      <c r="I1625" s="7"/>
      <c r="J1625" s="7">
        <f t="shared" si="632"/>
        <v>16</v>
      </c>
      <c r="K1625" s="7"/>
      <c r="L1625" s="7">
        <f t="shared" si="633"/>
        <v>16</v>
      </c>
      <c r="M1625" s="7"/>
      <c r="N1625" s="7">
        <v>16</v>
      </c>
      <c r="O1625" s="7">
        <v>16</v>
      </c>
      <c r="P1625" s="349">
        <v>0.6</v>
      </c>
      <c r="Q1625" s="257">
        <v>3.75</v>
      </c>
    </row>
    <row r="1626" spans="1:17" s="12" customFormat="1" ht="31.5">
      <c r="A1626" s="8" t="s">
        <v>281</v>
      </c>
      <c r="B1626" s="57">
        <v>918</v>
      </c>
      <c r="C1626" s="57" t="s">
        <v>279</v>
      </c>
      <c r="D1626" s="10" t="s">
        <v>11</v>
      </c>
      <c r="E1626" s="41" t="s">
        <v>282</v>
      </c>
      <c r="F1626" s="10"/>
      <c r="G1626" s="11">
        <v>3925.2</v>
      </c>
      <c r="H1626" s="11">
        <v>13094.2</v>
      </c>
      <c r="I1626" s="7">
        <f t="shared" ref="I1626:M1626" si="634">I1627</f>
        <v>0</v>
      </c>
      <c r="J1626" s="7">
        <f t="shared" si="634"/>
        <v>13094.2</v>
      </c>
      <c r="K1626" s="7">
        <f t="shared" si="634"/>
        <v>0</v>
      </c>
      <c r="L1626" s="7">
        <f t="shared" si="634"/>
        <v>13094.2</v>
      </c>
      <c r="M1626" s="7">
        <f t="shared" si="634"/>
        <v>91.7</v>
      </c>
      <c r="N1626" s="7">
        <v>13185.9</v>
      </c>
      <c r="O1626" s="7">
        <v>13185.9</v>
      </c>
      <c r="P1626" s="349">
        <v>12851.9</v>
      </c>
      <c r="Q1626" s="257">
        <v>97.47</v>
      </c>
    </row>
    <row r="1627" spans="1:17" s="12" customFormat="1">
      <c r="A1627" s="8" t="s">
        <v>337</v>
      </c>
      <c r="B1627" s="57">
        <v>918</v>
      </c>
      <c r="C1627" s="57" t="s">
        <v>279</v>
      </c>
      <c r="D1627" s="10" t="s">
        <v>11</v>
      </c>
      <c r="E1627" s="41" t="s">
        <v>282</v>
      </c>
      <c r="F1627" s="10" t="s">
        <v>331</v>
      </c>
      <c r="G1627" s="11">
        <v>3925.2</v>
      </c>
      <c r="H1627" s="31">
        <v>13094.2</v>
      </c>
      <c r="I1627" s="7"/>
      <c r="J1627" s="7">
        <f>H1627+I1627</f>
        <v>13094.2</v>
      </c>
      <c r="K1627" s="7"/>
      <c r="L1627" s="7">
        <f>J1627+K1627</f>
        <v>13094.2</v>
      </c>
      <c r="M1627" s="7">
        <v>91.7</v>
      </c>
      <c r="N1627" s="7">
        <v>13185.9</v>
      </c>
      <c r="O1627" s="7">
        <v>13185.9</v>
      </c>
      <c r="P1627" s="349">
        <v>12851.9</v>
      </c>
      <c r="Q1627" s="257">
        <v>97.47</v>
      </c>
    </row>
    <row r="1628" spans="1:17" s="30" customFormat="1">
      <c r="A1628" s="26" t="s">
        <v>164</v>
      </c>
      <c r="B1628" s="73">
        <v>918</v>
      </c>
      <c r="C1628" s="73" t="s">
        <v>279</v>
      </c>
      <c r="D1628" s="27" t="s">
        <v>31</v>
      </c>
      <c r="E1628" s="73"/>
      <c r="F1628" s="73"/>
      <c r="G1628" s="28">
        <v>934.9</v>
      </c>
      <c r="H1628" s="28">
        <v>30660.400000000001</v>
      </c>
      <c r="I1628" s="29">
        <f t="shared" ref="I1628:M1628" si="635">I1629+I1631</f>
        <v>0</v>
      </c>
      <c r="J1628" s="29">
        <f t="shared" si="635"/>
        <v>30660.400000000001</v>
      </c>
      <c r="K1628" s="29">
        <f t="shared" si="635"/>
        <v>707.2</v>
      </c>
      <c r="L1628" s="29">
        <f t="shared" si="635"/>
        <v>31367.599999999999</v>
      </c>
      <c r="M1628" s="29">
        <f t="shared" si="635"/>
        <v>1200</v>
      </c>
      <c r="N1628" s="29">
        <v>32567.599999999999</v>
      </c>
      <c r="O1628" s="29">
        <v>32567.599999999999</v>
      </c>
      <c r="P1628" s="348">
        <v>31329.4</v>
      </c>
      <c r="Q1628" s="256">
        <v>96.2</v>
      </c>
    </row>
    <row r="1629" spans="1:17" s="12" customFormat="1" ht="31.5">
      <c r="A1629" s="8" t="s">
        <v>283</v>
      </c>
      <c r="B1629" s="57">
        <v>918</v>
      </c>
      <c r="C1629" s="57" t="s">
        <v>279</v>
      </c>
      <c r="D1629" s="10" t="s">
        <v>31</v>
      </c>
      <c r="E1629" s="10" t="s">
        <v>284</v>
      </c>
      <c r="F1629" s="10"/>
      <c r="G1629" s="11">
        <v>782.8</v>
      </c>
      <c r="H1629" s="11">
        <v>11616.9</v>
      </c>
      <c r="I1629" s="7">
        <f t="shared" ref="I1629:M1629" si="636">I1630</f>
        <v>0</v>
      </c>
      <c r="J1629" s="7">
        <f t="shared" si="636"/>
        <v>11616.9</v>
      </c>
      <c r="K1629" s="7">
        <f t="shared" si="636"/>
        <v>307.2</v>
      </c>
      <c r="L1629" s="7">
        <f t="shared" si="636"/>
        <v>11924.1</v>
      </c>
      <c r="M1629" s="7">
        <f t="shared" si="636"/>
        <v>-224.7</v>
      </c>
      <c r="N1629" s="7">
        <v>11699.4</v>
      </c>
      <c r="O1629" s="7">
        <v>11699.4</v>
      </c>
      <c r="P1629" s="349">
        <v>11699.4</v>
      </c>
      <c r="Q1629" s="257">
        <v>100</v>
      </c>
    </row>
    <row r="1630" spans="1:17" s="12" customFormat="1">
      <c r="A1630" s="8" t="s">
        <v>337</v>
      </c>
      <c r="B1630" s="57">
        <v>918</v>
      </c>
      <c r="C1630" s="57" t="s">
        <v>279</v>
      </c>
      <c r="D1630" s="10" t="s">
        <v>31</v>
      </c>
      <c r="E1630" s="10" t="s">
        <v>284</v>
      </c>
      <c r="F1630" s="10" t="s">
        <v>331</v>
      </c>
      <c r="G1630" s="11">
        <v>782.8</v>
      </c>
      <c r="H1630" s="31">
        <v>11616.9</v>
      </c>
      <c r="I1630" s="7"/>
      <c r="J1630" s="7">
        <f>H1630+I1630</f>
        <v>11616.9</v>
      </c>
      <c r="K1630" s="7">
        <v>307.2</v>
      </c>
      <c r="L1630" s="7">
        <f>J1630+K1630</f>
        <v>11924.1</v>
      </c>
      <c r="M1630" s="7">
        <v>-224.7</v>
      </c>
      <c r="N1630" s="7">
        <v>11699.4</v>
      </c>
      <c r="O1630" s="7">
        <v>11699.4</v>
      </c>
      <c r="P1630" s="349">
        <v>11699.4</v>
      </c>
      <c r="Q1630" s="257">
        <v>100</v>
      </c>
    </row>
    <row r="1631" spans="1:17" s="12" customFormat="1" ht="31.5">
      <c r="A1631" s="8" t="s">
        <v>285</v>
      </c>
      <c r="B1631" s="57">
        <v>918</v>
      </c>
      <c r="C1631" s="57" t="s">
        <v>279</v>
      </c>
      <c r="D1631" s="10" t="s">
        <v>31</v>
      </c>
      <c r="E1631" s="10" t="s">
        <v>286</v>
      </c>
      <c r="F1631" s="10"/>
      <c r="G1631" s="11">
        <v>152.1</v>
      </c>
      <c r="H1631" s="11">
        <v>19043.5</v>
      </c>
      <c r="I1631" s="7">
        <f t="shared" ref="I1631:M1631" si="637">I1632+I1633+I1634+I1635+I1637+I1638+I1636</f>
        <v>0</v>
      </c>
      <c r="J1631" s="7">
        <f t="shared" si="637"/>
        <v>19043.5</v>
      </c>
      <c r="K1631" s="7">
        <f t="shared" si="637"/>
        <v>400</v>
      </c>
      <c r="L1631" s="7">
        <f t="shared" si="637"/>
        <v>19443.5</v>
      </c>
      <c r="M1631" s="7">
        <f t="shared" si="637"/>
        <v>1424.7</v>
      </c>
      <c r="N1631" s="7">
        <v>20868.2</v>
      </c>
      <c r="O1631" s="7">
        <v>20868.2</v>
      </c>
      <c r="P1631" s="349">
        <v>19630</v>
      </c>
      <c r="Q1631" s="257">
        <v>94.07</v>
      </c>
    </row>
    <row r="1632" spans="1:17" s="12" customFormat="1">
      <c r="A1632" s="8" t="s">
        <v>337</v>
      </c>
      <c r="B1632" s="57">
        <v>918</v>
      </c>
      <c r="C1632" s="57" t="s">
        <v>279</v>
      </c>
      <c r="D1632" s="10" t="s">
        <v>31</v>
      </c>
      <c r="E1632" s="10" t="s">
        <v>286</v>
      </c>
      <c r="F1632" s="10" t="s">
        <v>347</v>
      </c>
      <c r="G1632" s="11">
        <v>-119.5</v>
      </c>
      <c r="H1632" s="31">
        <v>9521.1</v>
      </c>
      <c r="I1632" s="7"/>
      <c r="J1632" s="7">
        <f t="shared" ref="J1632:J1638" si="638">H1632+I1632</f>
        <v>9521.1</v>
      </c>
      <c r="K1632" s="7"/>
      <c r="L1632" s="7">
        <f t="shared" ref="L1632:L1638" si="639">J1632+K1632</f>
        <v>9521.1</v>
      </c>
      <c r="M1632" s="7">
        <v>224.7</v>
      </c>
      <c r="N1632" s="7">
        <v>9745.7999999999993</v>
      </c>
      <c r="O1632" s="7">
        <v>9745.7999999999993</v>
      </c>
      <c r="P1632" s="349">
        <v>9707.9</v>
      </c>
      <c r="Q1632" s="257">
        <v>99.61</v>
      </c>
    </row>
    <row r="1633" spans="1:17" s="12" customFormat="1">
      <c r="A1633" s="8" t="s">
        <v>356</v>
      </c>
      <c r="B1633" s="57">
        <v>918</v>
      </c>
      <c r="C1633" s="57" t="s">
        <v>279</v>
      </c>
      <c r="D1633" s="10" t="s">
        <v>31</v>
      </c>
      <c r="E1633" s="10" t="s">
        <v>286</v>
      </c>
      <c r="F1633" s="10" t="s">
        <v>348</v>
      </c>
      <c r="G1633" s="11">
        <v>-30.6</v>
      </c>
      <c r="H1633" s="31">
        <v>155</v>
      </c>
      <c r="I1633" s="7"/>
      <c r="J1633" s="7">
        <f t="shared" si="638"/>
        <v>155</v>
      </c>
      <c r="K1633" s="7">
        <v>-60</v>
      </c>
      <c r="L1633" s="7">
        <f t="shared" si="639"/>
        <v>95</v>
      </c>
      <c r="M1633" s="7">
        <v>-6.2</v>
      </c>
      <c r="N1633" s="7">
        <v>88.8</v>
      </c>
      <c r="O1633" s="7">
        <v>88.8</v>
      </c>
      <c r="P1633" s="349">
        <v>88.7</v>
      </c>
      <c r="Q1633" s="257">
        <v>99.89</v>
      </c>
    </row>
    <row r="1634" spans="1:17" s="12" customFormat="1" ht="31.5">
      <c r="A1634" s="8" t="s">
        <v>361</v>
      </c>
      <c r="B1634" s="57">
        <v>918</v>
      </c>
      <c r="C1634" s="57" t="s">
        <v>279</v>
      </c>
      <c r="D1634" s="10" t="s">
        <v>31</v>
      </c>
      <c r="E1634" s="10" t="s">
        <v>286</v>
      </c>
      <c r="F1634" s="10" t="s">
        <v>333</v>
      </c>
      <c r="G1634" s="11">
        <v>2265.3000000000002</v>
      </c>
      <c r="H1634" s="31">
        <v>2585</v>
      </c>
      <c r="I1634" s="7"/>
      <c r="J1634" s="7">
        <f t="shared" si="638"/>
        <v>2585</v>
      </c>
      <c r="K1634" s="7">
        <v>60</v>
      </c>
      <c r="L1634" s="7">
        <f t="shared" si="639"/>
        <v>2645</v>
      </c>
      <c r="M1634" s="7">
        <v>6.2</v>
      </c>
      <c r="N1634" s="7">
        <v>2651.2</v>
      </c>
      <c r="O1634" s="7">
        <v>2651.2</v>
      </c>
      <c r="P1634" s="349">
        <v>2651.2</v>
      </c>
      <c r="Q1634" s="257">
        <v>100</v>
      </c>
    </row>
    <row r="1635" spans="1:17" s="12" customFormat="1">
      <c r="A1635" s="8" t="s">
        <v>362</v>
      </c>
      <c r="B1635" s="57">
        <v>918</v>
      </c>
      <c r="C1635" s="57" t="s">
        <v>279</v>
      </c>
      <c r="D1635" s="10" t="s">
        <v>31</v>
      </c>
      <c r="E1635" s="10" t="s">
        <v>286</v>
      </c>
      <c r="F1635" s="10" t="s">
        <v>334</v>
      </c>
      <c r="G1635" s="11">
        <v>-1790.1</v>
      </c>
      <c r="H1635" s="31">
        <v>6616.4</v>
      </c>
      <c r="I1635" s="7">
        <f>-1-12.6</f>
        <v>-13.6</v>
      </c>
      <c r="J1635" s="7">
        <f t="shared" si="638"/>
        <v>6602.8</v>
      </c>
      <c r="K1635" s="7">
        <f>200+200</f>
        <v>400</v>
      </c>
      <c r="L1635" s="7">
        <f t="shared" si="639"/>
        <v>7002.8</v>
      </c>
      <c r="M1635" s="7">
        <f>-15+1200</f>
        <v>1185</v>
      </c>
      <c r="N1635" s="7">
        <v>8187.8</v>
      </c>
      <c r="O1635" s="7">
        <v>8187.8</v>
      </c>
      <c r="P1635" s="349">
        <v>6987.6</v>
      </c>
      <c r="Q1635" s="257">
        <v>85.34</v>
      </c>
    </row>
    <row r="1636" spans="1:17" s="12" customFormat="1" ht="78.75">
      <c r="A1636" s="8" t="s">
        <v>428</v>
      </c>
      <c r="B1636" s="57">
        <v>918</v>
      </c>
      <c r="C1636" s="57" t="s">
        <v>279</v>
      </c>
      <c r="D1636" s="10" t="s">
        <v>31</v>
      </c>
      <c r="E1636" s="10" t="s">
        <v>286</v>
      </c>
      <c r="F1636" s="10" t="s">
        <v>427</v>
      </c>
      <c r="G1636" s="11"/>
      <c r="H1636" s="31"/>
      <c r="I1636" s="7">
        <f>1+12.6</f>
        <v>13.6</v>
      </c>
      <c r="J1636" s="7">
        <f t="shared" si="638"/>
        <v>13.6</v>
      </c>
      <c r="K1636" s="7"/>
      <c r="L1636" s="7">
        <f t="shared" si="639"/>
        <v>13.6</v>
      </c>
      <c r="M1636" s="7">
        <v>15</v>
      </c>
      <c r="N1636" s="7">
        <v>28.6</v>
      </c>
      <c r="O1636" s="7">
        <v>28.6</v>
      </c>
      <c r="P1636" s="349">
        <v>28.6</v>
      </c>
      <c r="Q1636" s="257">
        <v>100</v>
      </c>
    </row>
    <row r="1637" spans="1:17" s="12" customFormat="1">
      <c r="A1637" s="8" t="s">
        <v>384</v>
      </c>
      <c r="B1637" s="57">
        <v>918</v>
      </c>
      <c r="C1637" s="57" t="s">
        <v>279</v>
      </c>
      <c r="D1637" s="10" t="s">
        <v>31</v>
      </c>
      <c r="E1637" s="10" t="s">
        <v>286</v>
      </c>
      <c r="F1637" s="10" t="s">
        <v>335</v>
      </c>
      <c r="G1637" s="11">
        <v>-183</v>
      </c>
      <c r="H1637" s="31">
        <v>150</v>
      </c>
      <c r="I1637" s="7"/>
      <c r="J1637" s="7">
        <f t="shared" si="638"/>
        <v>150</v>
      </c>
      <c r="K1637" s="7"/>
      <c r="L1637" s="7">
        <f t="shared" si="639"/>
        <v>150</v>
      </c>
      <c r="M1637" s="7"/>
      <c r="N1637" s="7">
        <v>150</v>
      </c>
      <c r="O1637" s="7">
        <v>150</v>
      </c>
      <c r="P1637" s="349">
        <v>150</v>
      </c>
      <c r="Q1637" s="257">
        <v>100</v>
      </c>
    </row>
    <row r="1638" spans="1:17" s="12" customFormat="1">
      <c r="A1638" s="8" t="s">
        <v>380</v>
      </c>
      <c r="B1638" s="57">
        <v>918</v>
      </c>
      <c r="C1638" s="57" t="s">
        <v>279</v>
      </c>
      <c r="D1638" s="10" t="s">
        <v>31</v>
      </c>
      <c r="E1638" s="10" t="s">
        <v>286</v>
      </c>
      <c r="F1638" s="10" t="s">
        <v>336</v>
      </c>
      <c r="G1638" s="11">
        <v>10</v>
      </c>
      <c r="H1638" s="31">
        <v>16</v>
      </c>
      <c r="I1638" s="7"/>
      <c r="J1638" s="7">
        <f t="shared" si="638"/>
        <v>16</v>
      </c>
      <c r="K1638" s="7"/>
      <c r="L1638" s="7">
        <f t="shared" si="639"/>
        <v>16</v>
      </c>
      <c r="M1638" s="7"/>
      <c r="N1638" s="7">
        <v>16</v>
      </c>
      <c r="O1638" s="7">
        <v>16</v>
      </c>
      <c r="P1638" s="349">
        <v>16</v>
      </c>
      <c r="Q1638" s="257">
        <v>100</v>
      </c>
    </row>
    <row r="1639" spans="1:17" s="30" customFormat="1">
      <c r="A1639" s="26" t="s">
        <v>53</v>
      </c>
      <c r="B1639" s="73">
        <v>918</v>
      </c>
      <c r="C1639" s="27" t="s">
        <v>16</v>
      </c>
      <c r="D1639" s="27" t="s">
        <v>54</v>
      </c>
      <c r="E1639" s="27"/>
      <c r="F1639" s="27"/>
      <c r="G1639" s="28">
        <v>21956.7</v>
      </c>
      <c r="H1639" s="28">
        <v>102598.9</v>
      </c>
      <c r="I1639" s="29">
        <f>I1640+I1654+I1657</f>
        <v>5323</v>
      </c>
      <c r="J1639" s="29">
        <f t="shared" ref="J1639:M1639" si="640">J1640+J1654+J1657+J1652</f>
        <v>107921.9</v>
      </c>
      <c r="K1639" s="29">
        <f t="shared" si="640"/>
        <v>4923.2</v>
      </c>
      <c r="L1639" s="29">
        <f t="shared" si="640"/>
        <v>112845.1</v>
      </c>
      <c r="M1639" s="29">
        <f t="shared" si="640"/>
        <v>1000</v>
      </c>
      <c r="N1639" s="29">
        <v>113845.1</v>
      </c>
      <c r="O1639" s="29">
        <v>113845.1</v>
      </c>
      <c r="P1639" s="348">
        <v>111000</v>
      </c>
      <c r="Q1639" s="256">
        <v>97.5</v>
      </c>
    </row>
    <row r="1640" spans="1:17" s="12" customFormat="1">
      <c r="A1640" s="8" t="s">
        <v>287</v>
      </c>
      <c r="B1640" s="57">
        <v>918</v>
      </c>
      <c r="C1640" s="10" t="s">
        <v>16</v>
      </c>
      <c r="D1640" s="10" t="s">
        <v>54</v>
      </c>
      <c r="E1640" s="10" t="s">
        <v>38</v>
      </c>
      <c r="F1640" s="10"/>
      <c r="G1640" s="11">
        <v>1658.8</v>
      </c>
      <c r="H1640" s="31">
        <v>17781.8</v>
      </c>
      <c r="I1640" s="7">
        <f>I1641</f>
        <v>0</v>
      </c>
      <c r="J1640" s="7">
        <f t="shared" ref="J1640:M1640" si="641">J1641+J1649</f>
        <v>17781.8</v>
      </c>
      <c r="K1640" s="7">
        <f t="shared" si="641"/>
        <v>1205.0999999999999</v>
      </c>
      <c r="L1640" s="7">
        <f t="shared" si="641"/>
        <v>18986.900000000001</v>
      </c>
      <c r="M1640" s="7">
        <f t="shared" si="641"/>
        <v>0</v>
      </c>
      <c r="N1640" s="7">
        <v>18986.900000000001</v>
      </c>
      <c r="O1640" s="7">
        <v>18986.900000000001</v>
      </c>
      <c r="P1640" s="349">
        <v>18986.900000000001</v>
      </c>
      <c r="Q1640" s="257">
        <v>100</v>
      </c>
    </row>
    <row r="1641" spans="1:17" s="12" customFormat="1">
      <c r="A1641" s="8" t="s">
        <v>288</v>
      </c>
      <c r="B1641" s="57">
        <v>918</v>
      </c>
      <c r="C1641" s="10" t="s">
        <v>16</v>
      </c>
      <c r="D1641" s="10" t="s">
        <v>54</v>
      </c>
      <c r="E1641" s="57" t="s">
        <v>289</v>
      </c>
      <c r="F1641" s="10"/>
      <c r="G1641" s="11">
        <v>1658.8</v>
      </c>
      <c r="H1641" s="11">
        <v>17781.8</v>
      </c>
      <c r="I1641" s="7">
        <f>I1642+I1643+I1644+I1645+I1647+I1648</f>
        <v>0</v>
      </c>
      <c r="J1641" s="7">
        <f>J1642+J1643+J1644+J1645+J1647+J1648</f>
        <v>17781.8</v>
      </c>
      <c r="K1641" s="7">
        <f t="shared" ref="K1641:M1641" si="642">K1642+K1643+K1644+K1645+K1647+K1648+K1646</f>
        <v>1180.2</v>
      </c>
      <c r="L1641" s="7">
        <f t="shared" si="642"/>
        <v>18962</v>
      </c>
      <c r="M1641" s="7">
        <f t="shared" si="642"/>
        <v>0</v>
      </c>
      <c r="N1641" s="7">
        <v>18962</v>
      </c>
      <c r="O1641" s="7">
        <v>18962</v>
      </c>
      <c r="P1641" s="349">
        <v>18962</v>
      </c>
      <c r="Q1641" s="257">
        <v>100</v>
      </c>
    </row>
    <row r="1642" spans="1:17" s="12" customFormat="1">
      <c r="A1642" s="8" t="s">
        <v>337</v>
      </c>
      <c r="B1642" s="57">
        <v>918</v>
      </c>
      <c r="C1642" s="10" t="s">
        <v>16</v>
      </c>
      <c r="D1642" s="10" t="s">
        <v>54</v>
      </c>
      <c r="E1642" s="57" t="s">
        <v>289</v>
      </c>
      <c r="F1642" s="10" t="s">
        <v>331</v>
      </c>
      <c r="G1642" s="11">
        <v>756.3</v>
      </c>
      <c r="H1642" s="31">
        <v>15991.4</v>
      </c>
      <c r="I1642" s="7">
        <v>-550</v>
      </c>
      <c r="J1642" s="7">
        <f t="shared" ref="J1642:J1648" si="643">H1642+I1642</f>
        <v>15441.4</v>
      </c>
      <c r="K1642" s="7">
        <v>500</v>
      </c>
      <c r="L1642" s="7">
        <f>J1642+K1642</f>
        <v>15941.4</v>
      </c>
      <c r="M1642" s="7"/>
      <c r="N1642" s="7">
        <v>15941.4</v>
      </c>
      <c r="O1642" s="7">
        <v>15941.4</v>
      </c>
      <c r="P1642" s="349">
        <v>15941.4</v>
      </c>
      <c r="Q1642" s="257">
        <v>100</v>
      </c>
    </row>
    <row r="1643" spans="1:17" s="12" customFormat="1">
      <c r="A1643" s="8" t="s">
        <v>356</v>
      </c>
      <c r="B1643" s="57">
        <v>918</v>
      </c>
      <c r="C1643" s="10" t="s">
        <v>16</v>
      </c>
      <c r="D1643" s="10" t="s">
        <v>54</v>
      </c>
      <c r="E1643" s="57" t="s">
        <v>289</v>
      </c>
      <c r="F1643" s="10" t="s">
        <v>332</v>
      </c>
      <c r="G1643" s="11">
        <v>-85</v>
      </c>
      <c r="H1643" s="31">
        <v>115</v>
      </c>
      <c r="I1643" s="7">
        <v>20</v>
      </c>
      <c r="J1643" s="7">
        <f t="shared" si="643"/>
        <v>135</v>
      </c>
      <c r="K1643" s="7">
        <f>-6.3-19+3.6+35</f>
        <v>13.3</v>
      </c>
      <c r="L1643" s="7">
        <f>J1643+K1643</f>
        <v>148.30000000000001</v>
      </c>
      <c r="M1643" s="7">
        <v>-13.5</v>
      </c>
      <c r="N1643" s="7">
        <v>134.80000000000001</v>
      </c>
      <c r="O1643" s="7">
        <v>134.80000000000001</v>
      </c>
      <c r="P1643" s="349">
        <v>134.80000000000001</v>
      </c>
      <c r="Q1643" s="257">
        <v>100</v>
      </c>
    </row>
    <row r="1644" spans="1:17" s="12" customFormat="1" ht="31.5">
      <c r="A1644" s="8" t="s">
        <v>361</v>
      </c>
      <c r="B1644" s="57">
        <v>918</v>
      </c>
      <c r="C1644" s="10" t="s">
        <v>16</v>
      </c>
      <c r="D1644" s="10" t="s">
        <v>54</v>
      </c>
      <c r="E1644" s="57" t="s">
        <v>289</v>
      </c>
      <c r="F1644" s="10" t="s">
        <v>333</v>
      </c>
      <c r="G1644" s="11">
        <v>102</v>
      </c>
      <c r="H1644" s="31">
        <v>260</v>
      </c>
      <c r="I1644" s="7"/>
      <c r="J1644" s="7">
        <f t="shared" si="643"/>
        <v>260</v>
      </c>
      <c r="K1644" s="7">
        <f>70+19-3.6+176.4</f>
        <v>261.8</v>
      </c>
      <c r="L1644" s="7">
        <f>J1644+K1644</f>
        <v>521.79999999999995</v>
      </c>
      <c r="M1644" s="7">
        <v>-20</v>
      </c>
      <c r="N1644" s="7">
        <v>501.8</v>
      </c>
      <c r="O1644" s="7">
        <v>501.8</v>
      </c>
      <c r="P1644" s="349">
        <v>501.8</v>
      </c>
      <c r="Q1644" s="257">
        <v>100</v>
      </c>
    </row>
    <row r="1645" spans="1:17" s="12" customFormat="1">
      <c r="A1645" s="8" t="s">
        <v>362</v>
      </c>
      <c r="B1645" s="57">
        <v>918</v>
      </c>
      <c r="C1645" s="10" t="s">
        <v>16</v>
      </c>
      <c r="D1645" s="10" t="s">
        <v>54</v>
      </c>
      <c r="E1645" s="57" t="s">
        <v>289</v>
      </c>
      <c r="F1645" s="10" t="s">
        <v>334</v>
      </c>
      <c r="G1645" s="11">
        <v>915.5</v>
      </c>
      <c r="H1645" s="31">
        <v>1345.4</v>
      </c>
      <c r="I1645" s="7">
        <v>530</v>
      </c>
      <c r="J1645" s="7">
        <f t="shared" si="643"/>
        <v>1875.4</v>
      </c>
      <c r="K1645" s="7">
        <f>-70+468.8</f>
        <v>398.8</v>
      </c>
      <c r="L1645" s="7">
        <f>J1645+K1645</f>
        <v>2274.1999999999998</v>
      </c>
      <c r="M1645" s="7">
        <v>33.5</v>
      </c>
      <c r="N1645" s="7">
        <v>2307.6999999999998</v>
      </c>
      <c r="O1645" s="7">
        <v>2307.6999999999998</v>
      </c>
      <c r="P1645" s="349">
        <v>2307.6999999999998</v>
      </c>
      <c r="Q1645" s="257">
        <v>100</v>
      </c>
    </row>
    <row r="1646" spans="1:17" s="12" customFormat="1" ht="78.75">
      <c r="A1646" s="8" t="s">
        <v>428</v>
      </c>
      <c r="B1646" s="57">
        <v>918</v>
      </c>
      <c r="C1646" s="10" t="s">
        <v>16</v>
      </c>
      <c r="D1646" s="10" t="s">
        <v>54</v>
      </c>
      <c r="E1646" s="57" t="s">
        <v>289</v>
      </c>
      <c r="F1646" s="10" t="s">
        <v>427</v>
      </c>
      <c r="G1646" s="11"/>
      <c r="H1646" s="31"/>
      <c r="I1646" s="7"/>
      <c r="J1646" s="7"/>
      <c r="K1646" s="7">
        <v>6.3</v>
      </c>
      <c r="L1646" s="7">
        <f>K1646+J1646</f>
        <v>6.3</v>
      </c>
      <c r="M1646" s="7"/>
      <c r="N1646" s="7">
        <v>6.3</v>
      </c>
      <c r="O1646" s="7">
        <v>6.3</v>
      </c>
      <c r="P1646" s="349">
        <v>6.3</v>
      </c>
      <c r="Q1646" s="257">
        <v>100</v>
      </c>
    </row>
    <row r="1647" spans="1:17" s="12" customFormat="1">
      <c r="A1647" s="8" t="s">
        <v>384</v>
      </c>
      <c r="B1647" s="57">
        <v>918</v>
      </c>
      <c r="C1647" s="10" t="s">
        <v>16</v>
      </c>
      <c r="D1647" s="10" t="s">
        <v>54</v>
      </c>
      <c r="E1647" s="57" t="s">
        <v>289</v>
      </c>
      <c r="F1647" s="10" t="s">
        <v>335</v>
      </c>
      <c r="G1647" s="11">
        <v>-5</v>
      </c>
      <c r="H1647" s="31">
        <v>60</v>
      </c>
      <c r="I1647" s="7"/>
      <c r="J1647" s="7">
        <f t="shared" si="643"/>
        <v>60</v>
      </c>
      <c r="K1647" s="7">
        <f>2.2-27</f>
        <v>-24.8</v>
      </c>
      <c r="L1647" s="7">
        <f>J1647+K1647</f>
        <v>35.200000000000003</v>
      </c>
      <c r="M1647" s="7"/>
      <c r="N1647" s="7">
        <v>35.200000000000003</v>
      </c>
      <c r="O1647" s="7">
        <v>35.200000000000003</v>
      </c>
      <c r="P1647" s="349">
        <v>35.200000000000003</v>
      </c>
      <c r="Q1647" s="257">
        <v>100</v>
      </c>
    </row>
    <row r="1648" spans="1:17" s="12" customFormat="1">
      <c r="A1648" s="8" t="s">
        <v>380</v>
      </c>
      <c r="B1648" s="57">
        <v>918</v>
      </c>
      <c r="C1648" s="10" t="s">
        <v>16</v>
      </c>
      <c r="D1648" s="10" t="s">
        <v>54</v>
      </c>
      <c r="E1648" s="57" t="s">
        <v>289</v>
      </c>
      <c r="F1648" s="10" t="s">
        <v>336</v>
      </c>
      <c r="G1648" s="11">
        <v>-25</v>
      </c>
      <c r="H1648" s="31">
        <v>10</v>
      </c>
      <c r="I1648" s="7"/>
      <c r="J1648" s="7">
        <f t="shared" si="643"/>
        <v>10</v>
      </c>
      <c r="K1648" s="7">
        <f>-2.2+27</f>
        <v>24.8</v>
      </c>
      <c r="L1648" s="7">
        <f>J1648+K1648</f>
        <v>34.799999999999997</v>
      </c>
      <c r="M1648" s="7"/>
      <c r="N1648" s="7">
        <v>34.799999999999997</v>
      </c>
      <c r="O1648" s="7">
        <v>34.799999999999997</v>
      </c>
      <c r="P1648" s="349">
        <v>34.799999999999997</v>
      </c>
      <c r="Q1648" s="257">
        <v>100</v>
      </c>
    </row>
    <row r="1649" spans="1:17" s="85" customFormat="1" ht="31.5">
      <c r="A1649" s="9" t="s">
        <v>964</v>
      </c>
      <c r="B1649" s="57">
        <v>918</v>
      </c>
      <c r="C1649" s="10" t="s">
        <v>16</v>
      </c>
      <c r="D1649" s="10" t="s">
        <v>54</v>
      </c>
      <c r="E1649" s="57" t="s">
        <v>963</v>
      </c>
      <c r="F1649" s="10"/>
      <c r="G1649" s="11"/>
      <c r="H1649" s="31"/>
      <c r="I1649" s="7"/>
      <c r="J1649" s="7">
        <f t="shared" ref="J1649:M1649" si="644">J1650+J1651</f>
        <v>0</v>
      </c>
      <c r="K1649" s="7">
        <f t="shared" si="644"/>
        <v>24.9</v>
      </c>
      <c r="L1649" s="7">
        <f t="shared" si="644"/>
        <v>24.9</v>
      </c>
      <c r="M1649" s="7">
        <f t="shared" si="644"/>
        <v>0</v>
      </c>
      <c r="N1649" s="7">
        <v>24.9</v>
      </c>
      <c r="O1649" s="7">
        <v>24.9</v>
      </c>
      <c r="P1649" s="349">
        <v>24.9</v>
      </c>
      <c r="Q1649" s="257">
        <v>100</v>
      </c>
    </row>
    <row r="1650" spans="1:17" s="12" customFormat="1">
      <c r="A1650" s="8" t="s">
        <v>384</v>
      </c>
      <c r="B1650" s="57">
        <v>918</v>
      </c>
      <c r="C1650" s="10" t="s">
        <v>16</v>
      </c>
      <c r="D1650" s="10" t="s">
        <v>54</v>
      </c>
      <c r="E1650" s="57" t="s">
        <v>963</v>
      </c>
      <c r="F1650" s="10" t="s">
        <v>335</v>
      </c>
      <c r="G1650" s="11"/>
      <c r="H1650" s="31"/>
      <c r="I1650" s="7"/>
      <c r="J1650" s="7"/>
      <c r="K1650" s="7">
        <v>23</v>
      </c>
      <c r="L1650" s="7">
        <f>J1650+K1650</f>
        <v>23</v>
      </c>
      <c r="M1650" s="7">
        <v>-5.2</v>
      </c>
      <c r="N1650" s="7">
        <v>17.8</v>
      </c>
      <c r="O1650" s="7">
        <v>17.8</v>
      </c>
      <c r="P1650" s="349">
        <v>17.8</v>
      </c>
      <c r="Q1650" s="257">
        <v>100</v>
      </c>
    </row>
    <row r="1651" spans="1:17" s="12" customFormat="1">
      <c r="A1651" s="8" t="s">
        <v>380</v>
      </c>
      <c r="B1651" s="57">
        <v>918</v>
      </c>
      <c r="C1651" s="10" t="s">
        <v>16</v>
      </c>
      <c r="D1651" s="10" t="s">
        <v>54</v>
      </c>
      <c r="E1651" s="57" t="s">
        <v>963</v>
      </c>
      <c r="F1651" s="10" t="s">
        <v>336</v>
      </c>
      <c r="G1651" s="11"/>
      <c r="H1651" s="31"/>
      <c r="I1651" s="7"/>
      <c r="J1651" s="7"/>
      <c r="K1651" s="7">
        <v>1.9</v>
      </c>
      <c r="L1651" s="7">
        <f>J1651+K1651</f>
        <v>1.9</v>
      </c>
      <c r="M1651" s="7">
        <v>5.2</v>
      </c>
      <c r="N1651" s="7">
        <v>7.1</v>
      </c>
      <c r="O1651" s="7">
        <v>7.1</v>
      </c>
      <c r="P1651" s="349">
        <v>7.1</v>
      </c>
      <c r="Q1651" s="257">
        <v>100</v>
      </c>
    </row>
    <row r="1652" spans="1:17" s="12" customFormat="1" ht="31.5">
      <c r="A1652" s="8" t="s">
        <v>949</v>
      </c>
      <c r="B1652" s="57">
        <v>918</v>
      </c>
      <c r="C1652" s="10" t="s">
        <v>16</v>
      </c>
      <c r="D1652" s="10" t="s">
        <v>54</v>
      </c>
      <c r="E1652" s="57" t="s">
        <v>948</v>
      </c>
      <c r="F1652" s="10"/>
      <c r="G1652" s="11"/>
      <c r="H1652" s="31"/>
      <c r="I1652" s="7"/>
      <c r="J1652" s="7">
        <f t="shared" ref="J1652:M1652" si="645">J1653</f>
        <v>0</v>
      </c>
      <c r="K1652" s="7">
        <f t="shared" si="645"/>
        <v>1067.2</v>
      </c>
      <c r="L1652" s="7">
        <f t="shared" si="645"/>
        <v>1067.2</v>
      </c>
      <c r="M1652" s="7">
        <f t="shared" si="645"/>
        <v>0</v>
      </c>
      <c r="N1652" s="7">
        <v>1067.2</v>
      </c>
      <c r="O1652" s="7">
        <v>1067.2</v>
      </c>
      <c r="P1652" s="349">
        <v>918.5</v>
      </c>
      <c r="Q1652" s="257">
        <v>86.07</v>
      </c>
    </row>
    <row r="1653" spans="1:17" s="12" customFormat="1">
      <c r="A1653" s="8" t="s">
        <v>337</v>
      </c>
      <c r="B1653" s="57">
        <v>918</v>
      </c>
      <c r="C1653" s="10" t="s">
        <v>16</v>
      </c>
      <c r="D1653" s="10" t="s">
        <v>54</v>
      </c>
      <c r="E1653" s="57" t="s">
        <v>948</v>
      </c>
      <c r="F1653" s="10" t="s">
        <v>331</v>
      </c>
      <c r="G1653" s="11"/>
      <c r="H1653" s="31"/>
      <c r="I1653" s="7"/>
      <c r="J1653" s="7"/>
      <c r="K1653" s="7">
        <f>447.2+620</f>
        <v>1067.2</v>
      </c>
      <c r="L1653" s="7">
        <f>J1653+K1653</f>
        <v>1067.2</v>
      </c>
      <c r="M1653" s="7"/>
      <c r="N1653" s="7">
        <v>1067.2</v>
      </c>
      <c r="O1653" s="7">
        <v>1067.2</v>
      </c>
      <c r="P1653" s="349">
        <v>918.5</v>
      </c>
      <c r="Q1653" s="257">
        <v>86.07</v>
      </c>
    </row>
    <row r="1654" spans="1:17" s="12" customFormat="1">
      <c r="A1654" s="8" t="s">
        <v>17</v>
      </c>
      <c r="B1654" s="57">
        <v>918</v>
      </c>
      <c r="C1654" s="10" t="s">
        <v>16</v>
      </c>
      <c r="D1654" s="10" t="s">
        <v>54</v>
      </c>
      <c r="E1654" s="57" t="s">
        <v>18</v>
      </c>
      <c r="F1654" s="10"/>
      <c r="G1654" s="11">
        <v>500</v>
      </c>
      <c r="H1654" s="31">
        <v>500</v>
      </c>
      <c r="I1654" s="7">
        <f t="shared" ref="I1654:M1655" si="646">I1655</f>
        <v>0</v>
      </c>
      <c r="J1654" s="7">
        <f t="shared" si="646"/>
        <v>500</v>
      </c>
      <c r="K1654" s="7">
        <f t="shared" si="646"/>
        <v>0</v>
      </c>
      <c r="L1654" s="7">
        <f t="shared" si="646"/>
        <v>500</v>
      </c>
      <c r="M1654" s="7">
        <f t="shared" si="646"/>
        <v>0</v>
      </c>
      <c r="N1654" s="7">
        <v>500</v>
      </c>
      <c r="O1654" s="7">
        <v>500</v>
      </c>
      <c r="P1654" s="349">
        <v>500</v>
      </c>
      <c r="Q1654" s="257">
        <v>100</v>
      </c>
    </row>
    <row r="1655" spans="1:17" s="12" customFormat="1" ht="47.25">
      <c r="A1655" s="8" t="s">
        <v>653</v>
      </c>
      <c r="B1655" s="57">
        <v>918</v>
      </c>
      <c r="C1655" s="10" t="s">
        <v>16</v>
      </c>
      <c r="D1655" s="10" t="s">
        <v>54</v>
      </c>
      <c r="E1655" s="57" t="s">
        <v>654</v>
      </c>
      <c r="F1655" s="10"/>
      <c r="G1655" s="11">
        <v>500</v>
      </c>
      <c r="H1655" s="31">
        <v>500</v>
      </c>
      <c r="I1655" s="7">
        <f t="shared" si="646"/>
        <v>0</v>
      </c>
      <c r="J1655" s="7">
        <f t="shared" si="646"/>
        <v>500</v>
      </c>
      <c r="K1655" s="7">
        <f t="shared" si="646"/>
        <v>0</v>
      </c>
      <c r="L1655" s="7">
        <f t="shared" si="646"/>
        <v>500</v>
      </c>
      <c r="M1655" s="7">
        <f t="shared" si="646"/>
        <v>0</v>
      </c>
      <c r="N1655" s="7">
        <v>500</v>
      </c>
      <c r="O1655" s="7">
        <v>500</v>
      </c>
      <c r="P1655" s="349">
        <v>500</v>
      </c>
      <c r="Q1655" s="257">
        <v>100</v>
      </c>
    </row>
    <row r="1656" spans="1:17" s="12" customFormat="1">
      <c r="A1656" s="8" t="s">
        <v>362</v>
      </c>
      <c r="B1656" s="57">
        <v>918</v>
      </c>
      <c r="C1656" s="10" t="s">
        <v>16</v>
      </c>
      <c r="D1656" s="10" t="s">
        <v>54</v>
      </c>
      <c r="E1656" s="57" t="s">
        <v>654</v>
      </c>
      <c r="F1656" s="10" t="s">
        <v>334</v>
      </c>
      <c r="G1656" s="11">
        <v>500</v>
      </c>
      <c r="H1656" s="31">
        <v>500</v>
      </c>
      <c r="I1656" s="7"/>
      <c r="J1656" s="7">
        <f>H1656+I1656</f>
        <v>500</v>
      </c>
      <c r="K1656" s="7"/>
      <c r="L1656" s="7">
        <f>J1656+K1656</f>
        <v>500</v>
      </c>
      <c r="M1656" s="7"/>
      <c r="N1656" s="7">
        <v>500</v>
      </c>
      <c r="O1656" s="7">
        <v>500</v>
      </c>
      <c r="P1656" s="349">
        <v>500</v>
      </c>
      <c r="Q1656" s="257">
        <v>100</v>
      </c>
    </row>
    <row r="1657" spans="1:17" s="12" customFormat="1">
      <c r="A1657" s="8" t="s">
        <v>363</v>
      </c>
      <c r="B1657" s="57">
        <v>918</v>
      </c>
      <c r="C1657" s="10" t="s">
        <v>16</v>
      </c>
      <c r="D1657" s="10" t="s">
        <v>54</v>
      </c>
      <c r="E1657" s="57" t="s">
        <v>364</v>
      </c>
      <c r="F1657" s="10"/>
      <c r="G1657" s="11">
        <v>19797.900000000001</v>
      </c>
      <c r="H1657" s="11">
        <v>84317.1</v>
      </c>
      <c r="I1657" s="7">
        <f t="shared" ref="I1657:M1657" si="647">I1658+I1666</f>
        <v>5323</v>
      </c>
      <c r="J1657" s="7">
        <f t="shared" si="647"/>
        <v>89640.1</v>
      </c>
      <c r="K1657" s="7">
        <f t="shared" si="647"/>
        <v>2650.9</v>
      </c>
      <c r="L1657" s="7">
        <f t="shared" si="647"/>
        <v>92291</v>
      </c>
      <c r="M1657" s="7">
        <f t="shared" si="647"/>
        <v>1000</v>
      </c>
      <c r="N1657" s="7">
        <v>93291</v>
      </c>
      <c r="O1657" s="7">
        <v>93291</v>
      </c>
      <c r="P1657" s="349">
        <v>90594.6</v>
      </c>
      <c r="Q1657" s="257">
        <v>97.11</v>
      </c>
    </row>
    <row r="1658" spans="1:17" s="12" customFormat="1" ht="31.5">
      <c r="A1658" s="8" t="s">
        <v>551</v>
      </c>
      <c r="B1658" s="57">
        <v>918</v>
      </c>
      <c r="C1658" s="10" t="s">
        <v>16</v>
      </c>
      <c r="D1658" s="10" t="s">
        <v>54</v>
      </c>
      <c r="E1658" s="57" t="s">
        <v>491</v>
      </c>
      <c r="F1658" s="10"/>
      <c r="G1658" s="11">
        <v>16797.900000000001</v>
      </c>
      <c r="H1658" s="11">
        <v>81317.100000000006</v>
      </c>
      <c r="I1658" s="7">
        <f t="shared" ref="I1658:M1658" si="648">I1659+I1660+I1661+I1662+I1663+I1664+I1665</f>
        <v>4609.5</v>
      </c>
      <c r="J1658" s="7">
        <f t="shared" si="648"/>
        <v>85926.6</v>
      </c>
      <c r="K1658" s="7">
        <f t="shared" si="648"/>
        <v>2650.9</v>
      </c>
      <c r="L1658" s="7">
        <f t="shared" si="648"/>
        <v>88577.5</v>
      </c>
      <c r="M1658" s="7">
        <f t="shared" si="648"/>
        <v>1000</v>
      </c>
      <c r="N1658" s="7">
        <v>89577.5</v>
      </c>
      <c r="O1658" s="7">
        <v>89577.5</v>
      </c>
      <c r="P1658" s="349">
        <v>86888</v>
      </c>
      <c r="Q1658" s="257">
        <v>97</v>
      </c>
    </row>
    <row r="1659" spans="1:17" s="12" customFormat="1">
      <c r="A1659" s="8" t="s">
        <v>337</v>
      </c>
      <c r="B1659" s="57">
        <v>918</v>
      </c>
      <c r="C1659" s="10" t="s">
        <v>16</v>
      </c>
      <c r="D1659" s="10" t="s">
        <v>54</v>
      </c>
      <c r="E1659" s="57" t="s">
        <v>491</v>
      </c>
      <c r="F1659" s="10" t="s">
        <v>347</v>
      </c>
      <c r="G1659" s="11">
        <v>290.2</v>
      </c>
      <c r="H1659" s="31">
        <v>20463.2</v>
      </c>
      <c r="I1659" s="7">
        <v>716</v>
      </c>
      <c r="J1659" s="7">
        <f t="shared" ref="J1659:J1665" si="649">H1659+I1659</f>
        <v>21179.200000000001</v>
      </c>
      <c r="K1659" s="7"/>
      <c r="L1659" s="7">
        <f t="shared" ref="L1659:L1665" si="650">J1659+K1659</f>
        <v>21179.200000000001</v>
      </c>
      <c r="M1659" s="7"/>
      <c r="N1659" s="7">
        <v>21179.200000000001</v>
      </c>
      <c r="O1659" s="7">
        <v>21179.200000000001</v>
      </c>
      <c r="P1659" s="349">
        <v>21119.8</v>
      </c>
      <c r="Q1659" s="257">
        <v>99.72</v>
      </c>
    </row>
    <row r="1660" spans="1:17" s="12" customFormat="1">
      <c r="A1660" s="8" t="s">
        <v>356</v>
      </c>
      <c r="B1660" s="57">
        <v>918</v>
      </c>
      <c r="C1660" s="10" t="s">
        <v>16</v>
      </c>
      <c r="D1660" s="10" t="s">
        <v>54</v>
      </c>
      <c r="E1660" s="57" t="s">
        <v>491</v>
      </c>
      <c r="F1660" s="10" t="s">
        <v>348</v>
      </c>
      <c r="G1660" s="11">
        <v>19.7</v>
      </c>
      <c r="H1660" s="31">
        <v>970</v>
      </c>
      <c r="I1660" s="7"/>
      <c r="J1660" s="7">
        <f t="shared" si="649"/>
        <v>970</v>
      </c>
      <c r="K1660" s="7">
        <v>97</v>
      </c>
      <c r="L1660" s="7">
        <f t="shared" si="650"/>
        <v>1067</v>
      </c>
      <c r="M1660" s="7"/>
      <c r="N1660" s="7">
        <v>1067</v>
      </c>
      <c r="O1660" s="7">
        <v>1067</v>
      </c>
      <c r="P1660" s="349">
        <v>785.9</v>
      </c>
      <c r="Q1660" s="257">
        <v>73.66</v>
      </c>
    </row>
    <row r="1661" spans="1:17" s="12" customFormat="1" ht="31.5">
      <c r="A1661" s="8" t="s">
        <v>361</v>
      </c>
      <c r="B1661" s="57">
        <v>918</v>
      </c>
      <c r="C1661" s="10" t="s">
        <v>16</v>
      </c>
      <c r="D1661" s="10" t="s">
        <v>54</v>
      </c>
      <c r="E1661" s="57" t="s">
        <v>491</v>
      </c>
      <c r="F1661" s="10" t="s">
        <v>333</v>
      </c>
      <c r="G1661" s="11">
        <v>1363.3</v>
      </c>
      <c r="H1661" s="31">
        <v>5600</v>
      </c>
      <c r="I1661" s="7">
        <f>584.4+7</f>
        <v>591.4</v>
      </c>
      <c r="J1661" s="7">
        <f t="shared" si="649"/>
        <v>6191.4</v>
      </c>
      <c r="K1661" s="7">
        <f>200+800</f>
        <v>1000</v>
      </c>
      <c r="L1661" s="7">
        <f t="shared" si="650"/>
        <v>7191.4</v>
      </c>
      <c r="M1661" s="7"/>
      <c r="N1661" s="7">
        <v>7191.4</v>
      </c>
      <c r="O1661" s="7">
        <v>7191.4</v>
      </c>
      <c r="P1661" s="349">
        <v>6752.3</v>
      </c>
      <c r="Q1661" s="257">
        <v>93.89</v>
      </c>
    </row>
    <row r="1662" spans="1:17" s="12" customFormat="1">
      <c r="A1662" s="8" t="s">
        <v>362</v>
      </c>
      <c r="B1662" s="57">
        <v>918</v>
      </c>
      <c r="C1662" s="10" t="s">
        <v>16</v>
      </c>
      <c r="D1662" s="10" t="s">
        <v>54</v>
      </c>
      <c r="E1662" s="57" t="s">
        <v>491</v>
      </c>
      <c r="F1662" s="10" t="s">
        <v>334</v>
      </c>
      <c r="G1662" s="11">
        <v>13905.7</v>
      </c>
      <c r="H1662" s="31">
        <v>48911.9</v>
      </c>
      <c r="I1662" s="7">
        <f>54+178.1+232+2161+677</f>
        <v>3302.1</v>
      </c>
      <c r="J1662" s="7">
        <f t="shared" si="649"/>
        <v>52214</v>
      </c>
      <c r="K1662" s="7">
        <f>230.3+585+300+149.6+66.1-297-24.9-800+394.4+825.5+24.9+100</f>
        <v>1553.9</v>
      </c>
      <c r="L1662" s="7">
        <f t="shared" si="650"/>
        <v>53767.9</v>
      </c>
      <c r="M1662" s="7"/>
      <c r="N1662" s="7">
        <v>53767.9</v>
      </c>
      <c r="O1662" s="7">
        <v>53767.9</v>
      </c>
      <c r="P1662" s="349">
        <v>51858</v>
      </c>
      <c r="Q1662" s="257">
        <v>96.45</v>
      </c>
    </row>
    <row r="1663" spans="1:17" s="12" customFormat="1">
      <c r="A1663" s="8" t="s">
        <v>384</v>
      </c>
      <c r="B1663" s="57">
        <v>918</v>
      </c>
      <c r="C1663" s="10" t="s">
        <v>16</v>
      </c>
      <c r="D1663" s="10" t="s">
        <v>54</v>
      </c>
      <c r="E1663" s="57" t="s">
        <v>491</v>
      </c>
      <c r="F1663" s="10" t="s">
        <v>335</v>
      </c>
      <c r="G1663" s="11">
        <v>611</v>
      </c>
      <c r="H1663" s="31">
        <v>1584</v>
      </c>
      <c r="I1663" s="7"/>
      <c r="J1663" s="7">
        <f t="shared" si="649"/>
        <v>1584</v>
      </c>
      <c r="K1663" s="7"/>
      <c r="L1663" s="7">
        <f t="shared" si="650"/>
        <v>1584</v>
      </c>
      <c r="M1663" s="7"/>
      <c r="N1663" s="7">
        <v>1584</v>
      </c>
      <c r="O1663" s="7">
        <v>1584</v>
      </c>
      <c r="P1663" s="349">
        <v>1584</v>
      </c>
      <c r="Q1663" s="257">
        <v>100</v>
      </c>
    </row>
    <row r="1664" spans="1:17" s="12" customFormat="1">
      <c r="A1664" s="8" t="s">
        <v>380</v>
      </c>
      <c r="B1664" s="57">
        <v>918</v>
      </c>
      <c r="C1664" s="10" t="s">
        <v>16</v>
      </c>
      <c r="D1664" s="10" t="s">
        <v>54</v>
      </c>
      <c r="E1664" s="57" t="s">
        <v>491</v>
      </c>
      <c r="F1664" s="10" t="s">
        <v>336</v>
      </c>
      <c r="G1664" s="11">
        <v>20</v>
      </c>
      <c r="H1664" s="31">
        <v>400</v>
      </c>
      <c r="I1664" s="7"/>
      <c r="J1664" s="7">
        <f t="shared" si="649"/>
        <v>400</v>
      </c>
      <c r="K1664" s="7"/>
      <c r="L1664" s="7">
        <f t="shared" si="650"/>
        <v>400</v>
      </c>
      <c r="M1664" s="7"/>
      <c r="N1664" s="7">
        <v>400</v>
      </c>
      <c r="O1664" s="7">
        <v>400</v>
      </c>
      <c r="P1664" s="349">
        <v>400</v>
      </c>
      <c r="Q1664" s="257">
        <v>100</v>
      </c>
    </row>
    <row r="1665" spans="1:17" s="12" customFormat="1">
      <c r="A1665" s="8" t="s">
        <v>756</v>
      </c>
      <c r="B1665" s="57">
        <v>918</v>
      </c>
      <c r="C1665" s="10" t="s">
        <v>16</v>
      </c>
      <c r="D1665" s="10" t="s">
        <v>54</v>
      </c>
      <c r="E1665" s="57" t="s">
        <v>491</v>
      </c>
      <c r="F1665" s="10" t="s">
        <v>353</v>
      </c>
      <c r="G1665" s="11">
        <v>588</v>
      </c>
      <c r="H1665" s="31">
        <v>3388</v>
      </c>
      <c r="I1665" s="7"/>
      <c r="J1665" s="7">
        <f t="shared" si="649"/>
        <v>3388</v>
      </c>
      <c r="K1665" s="7"/>
      <c r="L1665" s="7">
        <f t="shared" si="650"/>
        <v>3388</v>
      </c>
      <c r="M1665" s="7">
        <v>1000</v>
      </c>
      <c r="N1665" s="7">
        <v>4388</v>
      </c>
      <c r="O1665" s="7">
        <v>4388</v>
      </c>
      <c r="P1665" s="349">
        <v>4388</v>
      </c>
      <c r="Q1665" s="257">
        <v>100</v>
      </c>
    </row>
    <row r="1666" spans="1:17" s="12" customFormat="1" ht="47.25">
      <c r="A1666" s="8" t="s">
        <v>674</v>
      </c>
      <c r="B1666" s="57">
        <v>918</v>
      </c>
      <c r="C1666" s="10" t="s">
        <v>16</v>
      </c>
      <c r="D1666" s="10" t="s">
        <v>54</v>
      </c>
      <c r="E1666" s="57" t="s">
        <v>543</v>
      </c>
      <c r="F1666" s="10"/>
      <c r="G1666" s="11">
        <v>3000</v>
      </c>
      <c r="H1666" s="31">
        <v>3000</v>
      </c>
      <c r="I1666" s="7">
        <f t="shared" ref="I1666:M1666" si="651">I1668+I1667</f>
        <v>713.5</v>
      </c>
      <c r="J1666" s="7">
        <f t="shared" si="651"/>
        <v>3713.5</v>
      </c>
      <c r="K1666" s="7">
        <f t="shared" si="651"/>
        <v>0</v>
      </c>
      <c r="L1666" s="7">
        <f t="shared" si="651"/>
        <v>3713.5</v>
      </c>
      <c r="M1666" s="7">
        <f t="shared" si="651"/>
        <v>0</v>
      </c>
      <c r="N1666" s="7">
        <v>3713.5</v>
      </c>
      <c r="O1666" s="7">
        <v>3713.5</v>
      </c>
      <c r="P1666" s="349">
        <v>3706.6</v>
      </c>
      <c r="Q1666" s="257">
        <v>99.81</v>
      </c>
    </row>
    <row r="1667" spans="1:17" s="12" customFormat="1" ht="31.5">
      <c r="A1667" s="8" t="s">
        <v>361</v>
      </c>
      <c r="B1667" s="57">
        <v>918</v>
      </c>
      <c r="C1667" s="10" t="s">
        <v>16</v>
      </c>
      <c r="D1667" s="10" t="s">
        <v>54</v>
      </c>
      <c r="E1667" s="57" t="s">
        <v>543</v>
      </c>
      <c r="F1667" s="10" t="s">
        <v>333</v>
      </c>
      <c r="G1667" s="11"/>
      <c r="H1667" s="31"/>
      <c r="I1667" s="7">
        <v>713.5</v>
      </c>
      <c r="J1667" s="7">
        <f>H1667+I1667</f>
        <v>713.5</v>
      </c>
      <c r="K1667" s="7">
        <v>283.5</v>
      </c>
      <c r="L1667" s="7">
        <f>J1667+K1667</f>
        <v>997</v>
      </c>
      <c r="M1667" s="7"/>
      <c r="N1667" s="7">
        <v>997</v>
      </c>
      <c r="O1667" s="7">
        <v>997</v>
      </c>
      <c r="P1667" s="349">
        <v>997</v>
      </c>
      <c r="Q1667" s="257">
        <v>100</v>
      </c>
    </row>
    <row r="1668" spans="1:17" s="12" customFormat="1">
      <c r="A1668" s="8" t="s">
        <v>362</v>
      </c>
      <c r="B1668" s="57">
        <v>918</v>
      </c>
      <c r="C1668" s="10" t="s">
        <v>16</v>
      </c>
      <c r="D1668" s="10" t="s">
        <v>54</v>
      </c>
      <c r="E1668" s="57" t="s">
        <v>543</v>
      </c>
      <c r="F1668" s="10" t="s">
        <v>334</v>
      </c>
      <c r="G1668" s="11">
        <v>3000</v>
      </c>
      <c r="H1668" s="31">
        <v>3000</v>
      </c>
      <c r="I1668" s="7"/>
      <c r="J1668" s="7">
        <f>H1668+I1668</f>
        <v>3000</v>
      </c>
      <c r="K1668" s="7">
        <v>-283.5</v>
      </c>
      <c r="L1668" s="7">
        <f>J1668+K1668</f>
        <v>2716.5</v>
      </c>
      <c r="M1668" s="7"/>
      <c r="N1668" s="7">
        <v>2716.5</v>
      </c>
      <c r="O1668" s="7">
        <v>2716.5</v>
      </c>
      <c r="P1668" s="349">
        <v>2709.6</v>
      </c>
      <c r="Q1668" s="257">
        <v>99.75</v>
      </c>
    </row>
    <row r="1669" spans="1:17" s="30" customFormat="1">
      <c r="A1669" s="26" t="s">
        <v>168</v>
      </c>
      <c r="B1669" s="73">
        <v>918</v>
      </c>
      <c r="C1669" s="27" t="s">
        <v>26</v>
      </c>
      <c r="D1669" s="27"/>
      <c r="E1669" s="27"/>
      <c r="F1669" s="27"/>
      <c r="G1669" s="28">
        <v>0</v>
      </c>
      <c r="H1669" s="28">
        <v>760.2</v>
      </c>
      <c r="I1669" s="29">
        <f t="shared" ref="I1669:M1672" si="652">I1670</f>
        <v>0</v>
      </c>
      <c r="J1669" s="29">
        <f t="shared" si="652"/>
        <v>760.2</v>
      </c>
      <c r="K1669" s="29">
        <f t="shared" si="652"/>
        <v>0</v>
      </c>
      <c r="L1669" s="29">
        <f t="shared" si="652"/>
        <v>760.2</v>
      </c>
      <c r="M1669" s="29">
        <f t="shared" si="652"/>
        <v>0</v>
      </c>
      <c r="N1669" s="29">
        <v>760.2</v>
      </c>
      <c r="O1669" s="29">
        <v>760.2</v>
      </c>
      <c r="P1669" s="348">
        <v>554.4</v>
      </c>
      <c r="Q1669" s="256">
        <v>72.930000000000007</v>
      </c>
    </row>
    <row r="1670" spans="1:17" s="30" customFormat="1">
      <c r="A1670" s="26" t="s">
        <v>290</v>
      </c>
      <c r="B1670" s="73">
        <v>918</v>
      </c>
      <c r="C1670" s="27" t="s">
        <v>26</v>
      </c>
      <c r="D1670" s="27" t="s">
        <v>11</v>
      </c>
      <c r="E1670" s="27"/>
      <c r="F1670" s="27"/>
      <c r="G1670" s="28">
        <v>0</v>
      </c>
      <c r="H1670" s="28">
        <v>760.2</v>
      </c>
      <c r="I1670" s="29">
        <f t="shared" si="652"/>
        <v>0</v>
      </c>
      <c r="J1670" s="29">
        <f t="shared" si="652"/>
        <v>760.2</v>
      </c>
      <c r="K1670" s="29">
        <f t="shared" si="652"/>
        <v>0</v>
      </c>
      <c r="L1670" s="29">
        <f t="shared" si="652"/>
        <v>760.2</v>
      </c>
      <c r="M1670" s="29">
        <f t="shared" si="652"/>
        <v>0</v>
      </c>
      <c r="N1670" s="29">
        <v>760.2</v>
      </c>
      <c r="O1670" s="29">
        <v>760.2</v>
      </c>
      <c r="P1670" s="348">
        <v>554.4</v>
      </c>
      <c r="Q1670" s="256">
        <v>72.930000000000007</v>
      </c>
    </row>
    <row r="1671" spans="1:17" s="12" customFormat="1">
      <c r="A1671" s="8" t="s">
        <v>363</v>
      </c>
      <c r="B1671" s="57">
        <v>918</v>
      </c>
      <c r="C1671" s="10" t="s">
        <v>26</v>
      </c>
      <c r="D1671" s="10" t="s">
        <v>11</v>
      </c>
      <c r="E1671" s="57" t="s">
        <v>364</v>
      </c>
      <c r="F1671" s="10"/>
      <c r="G1671" s="11">
        <v>0</v>
      </c>
      <c r="H1671" s="11">
        <v>760.2</v>
      </c>
      <c r="I1671" s="7">
        <f t="shared" si="652"/>
        <v>0</v>
      </c>
      <c r="J1671" s="7">
        <f t="shared" si="652"/>
        <v>760.2</v>
      </c>
      <c r="K1671" s="7">
        <f t="shared" si="652"/>
        <v>0</v>
      </c>
      <c r="L1671" s="7">
        <f t="shared" si="652"/>
        <v>760.2</v>
      </c>
      <c r="M1671" s="7">
        <f t="shared" si="652"/>
        <v>0</v>
      </c>
      <c r="N1671" s="7">
        <v>760.2</v>
      </c>
      <c r="O1671" s="7">
        <v>760.2</v>
      </c>
      <c r="P1671" s="349">
        <v>554.4</v>
      </c>
      <c r="Q1671" s="257">
        <v>72.930000000000007</v>
      </c>
    </row>
    <row r="1672" spans="1:17" s="12" customFormat="1" ht="31.5">
      <c r="A1672" s="8" t="s">
        <v>551</v>
      </c>
      <c r="B1672" s="57">
        <v>918</v>
      </c>
      <c r="C1672" s="10" t="s">
        <v>26</v>
      </c>
      <c r="D1672" s="10" t="s">
        <v>11</v>
      </c>
      <c r="E1672" s="57" t="s">
        <v>491</v>
      </c>
      <c r="F1672" s="10"/>
      <c r="G1672" s="11">
        <v>0</v>
      </c>
      <c r="H1672" s="11">
        <v>760.2</v>
      </c>
      <c r="I1672" s="7">
        <f t="shared" si="652"/>
        <v>0</v>
      </c>
      <c r="J1672" s="7">
        <f t="shared" si="652"/>
        <v>760.2</v>
      </c>
      <c r="K1672" s="7">
        <f t="shared" si="652"/>
        <v>0</v>
      </c>
      <c r="L1672" s="7">
        <f t="shared" si="652"/>
        <v>760.2</v>
      </c>
      <c r="M1672" s="7">
        <f t="shared" si="652"/>
        <v>0</v>
      </c>
      <c r="N1672" s="7">
        <v>760.2</v>
      </c>
      <c r="O1672" s="7">
        <v>760.2</v>
      </c>
      <c r="P1672" s="349">
        <v>554.4</v>
      </c>
      <c r="Q1672" s="257">
        <v>72.930000000000007</v>
      </c>
    </row>
    <row r="1673" spans="1:17" s="12" customFormat="1">
      <c r="A1673" s="8" t="s">
        <v>354</v>
      </c>
      <c r="B1673" s="57">
        <v>918</v>
      </c>
      <c r="C1673" s="10" t="s">
        <v>26</v>
      </c>
      <c r="D1673" s="10" t="s">
        <v>11</v>
      </c>
      <c r="E1673" s="57" t="s">
        <v>491</v>
      </c>
      <c r="F1673" s="10" t="s">
        <v>346</v>
      </c>
      <c r="G1673" s="11">
        <v>0</v>
      </c>
      <c r="H1673" s="31">
        <v>760.2</v>
      </c>
      <c r="I1673" s="7"/>
      <c r="J1673" s="7">
        <f>H1673+I1673</f>
        <v>760.2</v>
      </c>
      <c r="K1673" s="7"/>
      <c r="L1673" s="7">
        <f>J1673+K1673</f>
        <v>760.2</v>
      </c>
      <c r="M1673" s="7"/>
      <c r="N1673" s="7">
        <v>760.2</v>
      </c>
      <c r="O1673" s="7">
        <v>760.2</v>
      </c>
      <c r="P1673" s="349">
        <v>554.4</v>
      </c>
      <c r="Q1673" s="257">
        <v>72.930000000000007</v>
      </c>
    </row>
    <row r="1674" spans="1:17" s="12" customFormat="1">
      <c r="A1674" s="67" t="s">
        <v>100</v>
      </c>
      <c r="B1674" s="73">
        <v>918</v>
      </c>
      <c r="C1674" s="27" t="s">
        <v>11</v>
      </c>
      <c r="D1674" s="27"/>
      <c r="E1674" s="73"/>
      <c r="F1674" s="27"/>
      <c r="G1674" s="28"/>
      <c r="H1674" s="60">
        <f>H1675</f>
        <v>0</v>
      </c>
      <c r="I1674" s="74">
        <f t="shared" ref="I1674:M1677" si="653">I1675</f>
        <v>10150</v>
      </c>
      <c r="J1674" s="74">
        <f t="shared" si="653"/>
        <v>10150</v>
      </c>
      <c r="K1674" s="74">
        <f t="shared" si="653"/>
        <v>0</v>
      </c>
      <c r="L1674" s="74">
        <f t="shared" si="653"/>
        <v>10150</v>
      </c>
      <c r="M1674" s="74">
        <f t="shared" si="653"/>
        <v>0</v>
      </c>
      <c r="N1674" s="74">
        <v>10150</v>
      </c>
      <c r="O1674" s="74">
        <v>10150</v>
      </c>
      <c r="P1674" s="352">
        <v>10149.4</v>
      </c>
      <c r="Q1674" s="256">
        <v>99.99</v>
      </c>
    </row>
    <row r="1675" spans="1:17" s="12" customFormat="1" ht="31.5">
      <c r="A1675" s="67" t="s">
        <v>719</v>
      </c>
      <c r="B1675" s="73">
        <v>918</v>
      </c>
      <c r="C1675" s="27" t="s">
        <v>11</v>
      </c>
      <c r="D1675" s="27" t="s">
        <v>140</v>
      </c>
      <c r="E1675" s="73"/>
      <c r="F1675" s="27"/>
      <c r="G1675" s="28"/>
      <c r="H1675" s="60">
        <f>H1676</f>
        <v>0</v>
      </c>
      <c r="I1675" s="74">
        <f t="shared" si="653"/>
        <v>10150</v>
      </c>
      <c r="J1675" s="74">
        <f t="shared" si="653"/>
        <v>10150</v>
      </c>
      <c r="K1675" s="74">
        <f t="shared" si="653"/>
        <v>0</v>
      </c>
      <c r="L1675" s="74">
        <f t="shared" si="653"/>
        <v>10150</v>
      </c>
      <c r="M1675" s="74">
        <f t="shared" si="653"/>
        <v>0</v>
      </c>
      <c r="N1675" s="74">
        <v>10150</v>
      </c>
      <c r="O1675" s="74">
        <v>10150</v>
      </c>
      <c r="P1675" s="352">
        <v>10149.4</v>
      </c>
      <c r="Q1675" s="256">
        <v>99.99</v>
      </c>
    </row>
    <row r="1676" spans="1:17" s="12" customFormat="1">
      <c r="A1676" s="9" t="s">
        <v>17</v>
      </c>
      <c r="B1676" s="57">
        <v>918</v>
      </c>
      <c r="C1676" s="10" t="s">
        <v>11</v>
      </c>
      <c r="D1676" s="10" t="s">
        <v>140</v>
      </c>
      <c r="E1676" s="57" t="s">
        <v>18</v>
      </c>
      <c r="F1676" s="27"/>
      <c r="G1676" s="28"/>
      <c r="H1676" s="31">
        <f>H1677</f>
        <v>0</v>
      </c>
      <c r="I1676" s="36">
        <f t="shared" si="653"/>
        <v>10150</v>
      </c>
      <c r="J1676" s="36">
        <f t="shared" si="653"/>
        <v>10150</v>
      </c>
      <c r="K1676" s="36">
        <f t="shared" si="653"/>
        <v>0</v>
      </c>
      <c r="L1676" s="36">
        <f t="shared" si="653"/>
        <v>10150</v>
      </c>
      <c r="M1676" s="36">
        <f t="shared" si="653"/>
        <v>0</v>
      </c>
      <c r="N1676" s="36">
        <v>10150</v>
      </c>
      <c r="O1676" s="36">
        <v>10150</v>
      </c>
      <c r="P1676" s="350">
        <v>10149.4</v>
      </c>
      <c r="Q1676" s="257">
        <v>99.99</v>
      </c>
    </row>
    <row r="1677" spans="1:17" s="12" customFormat="1" ht="31.5">
      <c r="A1677" s="9" t="s">
        <v>493</v>
      </c>
      <c r="B1677" s="57">
        <v>918</v>
      </c>
      <c r="C1677" s="10" t="s">
        <v>11</v>
      </c>
      <c r="D1677" s="10" t="s">
        <v>140</v>
      </c>
      <c r="E1677" s="57" t="s">
        <v>669</v>
      </c>
      <c r="F1677" s="10"/>
      <c r="G1677" s="11"/>
      <c r="H1677" s="31">
        <f>H1678</f>
        <v>0</v>
      </c>
      <c r="I1677" s="36">
        <f t="shared" si="653"/>
        <v>10150</v>
      </c>
      <c r="J1677" s="36">
        <f t="shared" si="653"/>
        <v>10150</v>
      </c>
      <c r="K1677" s="36">
        <f t="shared" si="653"/>
        <v>0</v>
      </c>
      <c r="L1677" s="36">
        <f t="shared" si="653"/>
        <v>10150</v>
      </c>
      <c r="M1677" s="36">
        <f t="shared" si="653"/>
        <v>0</v>
      </c>
      <c r="N1677" s="36">
        <v>10150</v>
      </c>
      <c r="O1677" s="36">
        <v>10150</v>
      </c>
      <c r="P1677" s="350">
        <v>10149.4</v>
      </c>
      <c r="Q1677" s="257">
        <v>99.99</v>
      </c>
    </row>
    <row r="1678" spans="1:17" s="12" customFormat="1" ht="31.5">
      <c r="A1678" s="8" t="s">
        <v>361</v>
      </c>
      <c r="B1678" s="57">
        <v>918</v>
      </c>
      <c r="C1678" s="10" t="s">
        <v>11</v>
      </c>
      <c r="D1678" s="10" t="s">
        <v>140</v>
      </c>
      <c r="E1678" s="57" t="s">
        <v>669</v>
      </c>
      <c r="F1678" s="10" t="s">
        <v>333</v>
      </c>
      <c r="G1678" s="11"/>
      <c r="H1678" s="31"/>
      <c r="I1678" s="7">
        <f>5000+5150</f>
        <v>10150</v>
      </c>
      <c r="J1678" s="7">
        <f>H1678+I1678</f>
        <v>10150</v>
      </c>
      <c r="K1678" s="7"/>
      <c r="L1678" s="7">
        <f>J1678+K1678</f>
        <v>10150</v>
      </c>
      <c r="M1678" s="7"/>
      <c r="N1678" s="7">
        <v>10150</v>
      </c>
      <c r="O1678" s="7">
        <v>10150</v>
      </c>
      <c r="P1678" s="349">
        <v>10149.4</v>
      </c>
      <c r="Q1678" s="257">
        <v>99.99</v>
      </c>
    </row>
    <row r="1679" spans="1:17" s="30" customFormat="1">
      <c r="A1679" s="26" t="s">
        <v>8</v>
      </c>
      <c r="B1679" s="73">
        <v>918</v>
      </c>
      <c r="C1679" s="27" t="s">
        <v>9</v>
      </c>
      <c r="D1679" s="27"/>
      <c r="E1679" s="27"/>
      <c r="F1679" s="27"/>
      <c r="G1679" s="28">
        <v>0</v>
      </c>
      <c r="H1679" s="28">
        <v>1544</v>
      </c>
      <c r="I1679" s="29">
        <f t="shared" ref="I1679:M1681" si="654">I1680</f>
        <v>0</v>
      </c>
      <c r="J1679" s="29">
        <f t="shared" si="654"/>
        <v>1544</v>
      </c>
      <c r="K1679" s="29">
        <f t="shared" si="654"/>
        <v>0</v>
      </c>
      <c r="L1679" s="29">
        <f t="shared" si="654"/>
        <v>1544</v>
      </c>
      <c r="M1679" s="29">
        <f t="shared" si="654"/>
        <v>-150</v>
      </c>
      <c r="N1679" s="29">
        <v>1394</v>
      </c>
      <c r="O1679" s="29">
        <v>1394</v>
      </c>
      <c r="P1679" s="348">
        <v>1333</v>
      </c>
      <c r="Q1679" s="256">
        <v>95.62</v>
      </c>
    </row>
    <row r="1680" spans="1:17" s="30" customFormat="1" ht="31.5">
      <c r="A1680" s="26" t="s">
        <v>75</v>
      </c>
      <c r="B1680" s="73">
        <v>918</v>
      </c>
      <c r="C1680" s="27" t="s">
        <v>9</v>
      </c>
      <c r="D1680" s="27" t="s">
        <v>31</v>
      </c>
      <c r="E1680" s="27"/>
      <c r="F1680" s="27"/>
      <c r="G1680" s="28">
        <v>0</v>
      </c>
      <c r="H1680" s="28">
        <v>1544</v>
      </c>
      <c r="I1680" s="29">
        <f t="shared" si="654"/>
        <v>0</v>
      </c>
      <c r="J1680" s="29">
        <f t="shared" si="654"/>
        <v>1544</v>
      </c>
      <c r="K1680" s="29">
        <f t="shared" si="654"/>
        <v>0</v>
      </c>
      <c r="L1680" s="29">
        <f t="shared" si="654"/>
        <v>1544</v>
      </c>
      <c r="M1680" s="29">
        <f t="shared" si="654"/>
        <v>-150</v>
      </c>
      <c r="N1680" s="29">
        <v>1394</v>
      </c>
      <c r="O1680" s="29">
        <v>1394</v>
      </c>
      <c r="P1680" s="348">
        <v>1333</v>
      </c>
      <c r="Q1680" s="256">
        <v>95.62</v>
      </c>
    </row>
    <row r="1681" spans="1:17" s="12" customFormat="1">
      <c r="A1681" s="8" t="s">
        <v>343</v>
      </c>
      <c r="B1681" s="57">
        <v>918</v>
      </c>
      <c r="C1681" s="10" t="s">
        <v>9</v>
      </c>
      <c r="D1681" s="10" t="s">
        <v>31</v>
      </c>
      <c r="E1681" s="10" t="s">
        <v>342</v>
      </c>
      <c r="F1681" s="10"/>
      <c r="G1681" s="11">
        <v>0</v>
      </c>
      <c r="H1681" s="11">
        <v>1544</v>
      </c>
      <c r="I1681" s="7">
        <f t="shared" si="654"/>
        <v>0</v>
      </c>
      <c r="J1681" s="7">
        <f t="shared" si="654"/>
        <v>1544</v>
      </c>
      <c r="K1681" s="7">
        <f t="shared" si="654"/>
        <v>0</v>
      </c>
      <c r="L1681" s="7">
        <f t="shared" si="654"/>
        <v>1544</v>
      </c>
      <c r="M1681" s="7">
        <f t="shared" si="654"/>
        <v>-150</v>
      </c>
      <c r="N1681" s="7">
        <v>1394</v>
      </c>
      <c r="O1681" s="7">
        <v>1394</v>
      </c>
      <c r="P1681" s="349">
        <v>1333</v>
      </c>
      <c r="Q1681" s="257">
        <v>95.62</v>
      </c>
    </row>
    <row r="1682" spans="1:17" s="12" customFormat="1" ht="31.5">
      <c r="A1682" s="8" t="s">
        <v>471</v>
      </c>
      <c r="B1682" s="57">
        <v>918</v>
      </c>
      <c r="C1682" s="10" t="s">
        <v>9</v>
      </c>
      <c r="D1682" s="10" t="s">
        <v>31</v>
      </c>
      <c r="E1682" s="10" t="s">
        <v>344</v>
      </c>
      <c r="F1682" s="10"/>
      <c r="G1682" s="11">
        <v>0</v>
      </c>
      <c r="H1682" s="11">
        <v>1544</v>
      </c>
      <c r="I1682" s="7">
        <f t="shared" ref="I1682:M1682" si="655">I1683+I1684</f>
        <v>0</v>
      </c>
      <c r="J1682" s="7">
        <f t="shared" si="655"/>
        <v>1544</v>
      </c>
      <c r="K1682" s="7">
        <f t="shared" si="655"/>
        <v>0</v>
      </c>
      <c r="L1682" s="7">
        <f t="shared" si="655"/>
        <v>1544</v>
      </c>
      <c r="M1682" s="7">
        <f t="shared" si="655"/>
        <v>-150</v>
      </c>
      <c r="N1682" s="7">
        <v>1394</v>
      </c>
      <c r="O1682" s="7">
        <v>1394</v>
      </c>
      <c r="P1682" s="349">
        <v>1333</v>
      </c>
      <c r="Q1682" s="257">
        <v>95.62</v>
      </c>
    </row>
    <row r="1683" spans="1:17" s="12" customFormat="1">
      <c r="A1683" s="8" t="s">
        <v>356</v>
      </c>
      <c r="B1683" s="57">
        <v>918</v>
      </c>
      <c r="C1683" s="10" t="s">
        <v>9</v>
      </c>
      <c r="D1683" s="10" t="s">
        <v>31</v>
      </c>
      <c r="E1683" s="10" t="s">
        <v>344</v>
      </c>
      <c r="F1683" s="10" t="s">
        <v>332</v>
      </c>
      <c r="G1683" s="11">
        <v>0</v>
      </c>
      <c r="H1683" s="31">
        <v>1044</v>
      </c>
      <c r="I1683" s="7"/>
      <c r="J1683" s="7">
        <f>H1683+I1683</f>
        <v>1044</v>
      </c>
      <c r="K1683" s="7">
        <v>-50</v>
      </c>
      <c r="L1683" s="7">
        <f>J1683+K1683</f>
        <v>994</v>
      </c>
      <c r="M1683" s="7">
        <v>-150</v>
      </c>
      <c r="N1683" s="7">
        <v>844</v>
      </c>
      <c r="O1683" s="7">
        <v>844</v>
      </c>
      <c r="P1683" s="349">
        <v>783.6</v>
      </c>
      <c r="Q1683" s="257">
        <v>92.84</v>
      </c>
    </row>
    <row r="1684" spans="1:17" s="12" customFormat="1">
      <c r="A1684" s="8" t="s">
        <v>362</v>
      </c>
      <c r="B1684" s="57">
        <v>918</v>
      </c>
      <c r="C1684" s="10" t="s">
        <v>9</v>
      </c>
      <c r="D1684" s="10" t="s">
        <v>31</v>
      </c>
      <c r="E1684" s="10" t="s">
        <v>344</v>
      </c>
      <c r="F1684" s="41" t="s">
        <v>334</v>
      </c>
      <c r="G1684" s="11">
        <v>0</v>
      </c>
      <c r="H1684" s="31">
        <v>500</v>
      </c>
      <c r="I1684" s="7"/>
      <c r="J1684" s="7">
        <f>H1684+I1684</f>
        <v>500</v>
      </c>
      <c r="K1684" s="7">
        <v>50</v>
      </c>
      <c r="L1684" s="7">
        <f>J1684+K1684</f>
        <v>550</v>
      </c>
      <c r="M1684" s="7"/>
      <c r="N1684" s="7">
        <v>550</v>
      </c>
      <c r="O1684" s="7">
        <v>550</v>
      </c>
      <c r="P1684" s="349">
        <v>549.4</v>
      </c>
      <c r="Q1684" s="257">
        <v>99.89</v>
      </c>
    </row>
    <row r="1685" spans="1:17" s="30" customFormat="1">
      <c r="A1685" s="26" t="s">
        <v>68</v>
      </c>
      <c r="B1685" s="73">
        <v>918</v>
      </c>
      <c r="C1685" s="27" t="s">
        <v>69</v>
      </c>
      <c r="D1685" s="27"/>
      <c r="E1685" s="27"/>
      <c r="F1685" s="27"/>
      <c r="G1685" s="28">
        <v>407.2</v>
      </c>
      <c r="H1685" s="28">
        <v>13680.7</v>
      </c>
      <c r="I1685" s="29">
        <f t="shared" ref="I1685:M1688" si="656">I1686</f>
        <v>532.20000000000005</v>
      </c>
      <c r="J1685" s="29">
        <f t="shared" si="656"/>
        <v>14212.9</v>
      </c>
      <c r="K1685" s="29">
        <f t="shared" si="656"/>
        <v>500</v>
      </c>
      <c r="L1685" s="29">
        <f t="shared" si="656"/>
        <v>14712.9</v>
      </c>
      <c r="M1685" s="29">
        <f t="shared" si="656"/>
        <v>1998.2</v>
      </c>
      <c r="N1685" s="29">
        <v>16711.099999999999</v>
      </c>
      <c r="O1685" s="29">
        <v>16711.099999999999</v>
      </c>
      <c r="P1685" s="348">
        <v>16711.099999999999</v>
      </c>
      <c r="Q1685" s="256">
        <v>100</v>
      </c>
    </row>
    <row r="1686" spans="1:17" s="30" customFormat="1">
      <c r="A1686" s="26" t="s">
        <v>70</v>
      </c>
      <c r="B1686" s="73">
        <v>918</v>
      </c>
      <c r="C1686" s="27" t="s">
        <v>69</v>
      </c>
      <c r="D1686" s="27" t="s">
        <v>26</v>
      </c>
      <c r="E1686" s="27"/>
      <c r="F1686" s="27"/>
      <c r="G1686" s="28">
        <v>407.2</v>
      </c>
      <c r="H1686" s="28">
        <v>13680.7</v>
      </c>
      <c r="I1686" s="29">
        <f t="shared" si="656"/>
        <v>532.20000000000005</v>
      </c>
      <c r="J1686" s="29">
        <f t="shared" si="656"/>
        <v>14212.9</v>
      </c>
      <c r="K1686" s="29">
        <f t="shared" si="656"/>
        <v>500</v>
      </c>
      <c r="L1686" s="29">
        <f t="shared" si="656"/>
        <v>14712.9</v>
      </c>
      <c r="M1686" s="29">
        <f t="shared" si="656"/>
        <v>1998.2</v>
      </c>
      <c r="N1686" s="29">
        <v>16711.099999999999</v>
      </c>
      <c r="O1686" s="29">
        <v>16711.099999999999</v>
      </c>
      <c r="P1686" s="348">
        <v>16711.099999999999</v>
      </c>
      <c r="Q1686" s="256">
        <v>100</v>
      </c>
    </row>
    <row r="1687" spans="1:17" s="12" customFormat="1">
      <c r="A1687" s="8" t="s">
        <v>363</v>
      </c>
      <c r="B1687" s="57">
        <v>918</v>
      </c>
      <c r="C1687" s="10" t="s">
        <v>69</v>
      </c>
      <c r="D1687" s="10" t="s">
        <v>26</v>
      </c>
      <c r="E1687" s="57" t="s">
        <v>364</v>
      </c>
      <c r="F1687" s="10"/>
      <c r="G1687" s="11">
        <v>407.2</v>
      </c>
      <c r="H1687" s="11">
        <v>13680.7</v>
      </c>
      <c r="I1687" s="7">
        <f t="shared" si="656"/>
        <v>532.20000000000005</v>
      </c>
      <c r="J1687" s="7">
        <f t="shared" si="656"/>
        <v>14212.9</v>
      </c>
      <c r="K1687" s="7">
        <f t="shared" si="656"/>
        <v>500</v>
      </c>
      <c r="L1687" s="7">
        <f t="shared" si="656"/>
        <v>14712.9</v>
      </c>
      <c r="M1687" s="7">
        <f t="shared" si="656"/>
        <v>1998.2</v>
      </c>
      <c r="N1687" s="7">
        <v>16711.099999999999</v>
      </c>
      <c r="O1687" s="7">
        <v>16711.099999999999</v>
      </c>
      <c r="P1687" s="349">
        <v>16711.099999999999</v>
      </c>
      <c r="Q1687" s="257">
        <v>100</v>
      </c>
    </row>
    <row r="1688" spans="1:17" s="12" customFormat="1" ht="31.5">
      <c r="A1688" s="8" t="s">
        <v>551</v>
      </c>
      <c r="B1688" s="57">
        <v>918</v>
      </c>
      <c r="C1688" s="10" t="s">
        <v>69</v>
      </c>
      <c r="D1688" s="10" t="s">
        <v>26</v>
      </c>
      <c r="E1688" s="57" t="s">
        <v>491</v>
      </c>
      <c r="F1688" s="10"/>
      <c r="G1688" s="11">
        <v>407.2</v>
      </c>
      <c r="H1688" s="11">
        <v>13680.7</v>
      </c>
      <c r="I1688" s="7">
        <f t="shared" si="656"/>
        <v>532.20000000000005</v>
      </c>
      <c r="J1688" s="7">
        <f t="shared" si="656"/>
        <v>14212.9</v>
      </c>
      <c r="K1688" s="7">
        <f t="shared" si="656"/>
        <v>500</v>
      </c>
      <c r="L1688" s="7">
        <f t="shared" si="656"/>
        <v>14712.9</v>
      </c>
      <c r="M1688" s="7">
        <f t="shared" si="656"/>
        <v>1998.2</v>
      </c>
      <c r="N1688" s="7">
        <v>16711.099999999999</v>
      </c>
      <c r="O1688" s="7">
        <v>16711.099999999999</v>
      </c>
      <c r="P1688" s="349">
        <v>16711.099999999999</v>
      </c>
      <c r="Q1688" s="257">
        <v>100</v>
      </c>
    </row>
    <row r="1689" spans="1:17" s="12" customFormat="1" ht="63">
      <c r="A1689" s="8" t="s">
        <v>377</v>
      </c>
      <c r="B1689" s="57">
        <v>918</v>
      </c>
      <c r="C1689" s="10" t="s">
        <v>69</v>
      </c>
      <c r="D1689" s="10" t="s">
        <v>26</v>
      </c>
      <c r="E1689" s="57" t="s">
        <v>491</v>
      </c>
      <c r="F1689" s="10" t="s">
        <v>355</v>
      </c>
      <c r="G1689" s="11">
        <v>407.2</v>
      </c>
      <c r="H1689" s="31">
        <v>13680.7</v>
      </c>
      <c r="I1689" s="7">
        <v>532.20000000000005</v>
      </c>
      <c r="J1689" s="7">
        <f>H1689+I1689</f>
        <v>14212.9</v>
      </c>
      <c r="K1689" s="7">
        <v>500</v>
      </c>
      <c r="L1689" s="7">
        <f>J1689+K1689</f>
        <v>14712.9</v>
      </c>
      <c r="M1689" s="7">
        <v>1998.2</v>
      </c>
      <c r="N1689" s="7">
        <v>16711.099999999999</v>
      </c>
      <c r="O1689" s="7">
        <v>16711.099999999999</v>
      </c>
      <c r="P1689" s="349">
        <v>16711.099999999999</v>
      </c>
      <c r="Q1689" s="257">
        <v>100</v>
      </c>
    </row>
    <row r="1690" spans="1:17">
      <c r="A1690" s="408" t="s">
        <v>291</v>
      </c>
      <c r="B1690" s="409"/>
      <c r="C1690" s="409"/>
      <c r="D1690" s="409"/>
      <c r="E1690" s="409"/>
      <c r="F1690" s="409"/>
      <c r="G1690" s="28">
        <v>25271.599999999999</v>
      </c>
      <c r="H1690" s="28">
        <v>282079.09999999998</v>
      </c>
      <c r="I1690" s="29" t="e">
        <f>I1691+I1696+I1723+I1745</f>
        <v>#REF!</v>
      </c>
      <c r="J1690" s="29" t="e">
        <f>J1691+J1696+J1723+J1745</f>
        <v>#REF!</v>
      </c>
      <c r="K1690" s="29" t="e">
        <f>K1691+K1696+K1723+K1745</f>
        <v>#REF!</v>
      </c>
      <c r="L1690" s="29" t="e">
        <f>L1691+L1696+L1723+L1745</f>
        <v>#REF!</v>
      </c>
      <c r="M1690" s="29" t="e">
        <f>M1691+M1696+M1723+M1745</f>
        <v>#REF!</v>
      </c>
      <c r="N1690" s="29">
        <v>365206.9</v>
      </c>
      <c r="O1690" s="29">
        <v>365206.9</v>
      </c>
      <c r="P1690" s="348">
        <v>365206.9</v>
      </c>
      <c r="Q1690" s="256">
        <v>100</v>
      </c>
    </row>
    <row r="1691" spans="1:17" s="30" customFormat="1">
      <c r="A1691" s="26" t="s">
        <v>52</v>
      </c>
      <c r="B1691" s="73">
        <v>919</v>
      </c>
      <c r="C1691" s="73" t="s">
        <v>279</v>
      </c>
      <c r="D1691" s="73"/>
      <c r="E1691" s="73"/>
      <c r="F1691" s="78"/>
      <c r="G1691" s="28">
        <v>16</v>
      </c>
      <c r="H1691" s="28">
        <v>1182.2</v>
      </c>
      <c r="I1691" s="29" t="e">
        <f t="shared" ref="I1691:M1691" si="657">I1692</f>
        <v>#REF!</v>
      </c>
      <c r="J1691" s="29" t="e">
        <f t="shared" si="657"/>
        <v>#REF!</v>
      </c>
      <c r="K1691" s="29" t="e">
        <f t="shared" si="657"/>
        <v>#REF!</v>
      </c>
      <c r="L1691" s="29" t="e">
        <f t="shared" si="657"/>
        <v>#REF!</v>
      </c>
      <c r="M1691" s="29" t="e">
        <f t="shared" si="657"/>
        <v>#REF!</v>
      </c>
      <c r="N1691" s="29">
        <v>1182.2</v>
      </c>
      <c r="O1691" s="29">
        <v>1182.2</v>
      </c>
      <c r="P1691" s="348">
        <v>1182.2</v>
      </c>
      <c r="Q1691" s="256">
        <v>100</v>
      </c>
    </row>
    <row r="1692" spans="1:17" s="30" customFormat="1" ht="31.5">
      <c r="A1692" s="26" t="s">
        <v>72</v>
      </c>
      <c r="B1692" s="73">
        <v>919</v>
      </c>
      <c r="C1692" s="73" t="s">
        <v>279</v>
      </c>
      <c r="D1692" s="73">
        <v>12</v>
      </c>
      <c r="E1692" s="73"/>
      <c r="F1692" s="73"/>
      <c r="G1692" s="28">
        <v>16</v>
      </c>
      <c r="H1692" s="28">
        <v>1182.2</v>
      </c>
      <c r="I1692" s="29" t="e">
        <f>#REF!+I1693</f>
        <v>#REF!</v>
      </c>
      <c r="J1692" s="29" t="e">
        <f>#REF!+J1693</f>
        <v>#REF!</v>
      </c>
      <c r="K1692" s="29" t="e">
        <f>#REF!+K1693</f>
        <v>#REF!</v>
      </c>
      <c r="L1692" s="29" t="e">
        <f>#REF!+L1693</f>
        <v>#REF!</v>
      </c>
      <c r="M1692" s="29" t="e">
        <f>#REF!+M1693</f>
        <v>#REF!</v>
      </c>
      <c r="N1692" s="29">
        <v>1182.2</v>
      </c>
      <c r="O1692" s="29">
        <v>1182.2</v>
      </c>
      <c r="P1692" s="348">
        <v>1182.2</v>
      </c>
      <c r="Q1692" s="256">
        <v>100</v>
      </c>
    </row>
    <row r="1693" spans="1:17" s="12" customFormat="1">
      <c r="A1693" s="8" t="s">
        <v>363</v>
      </c>
      <c r="B1693" s="57">
        <v>919</v>
      </c>
      <c r="C1693" s="57" t="s">
        <v>279</v>
      </c>
      <c r="D1693" s="57">
        <v>12</v>
      </c>
      <c r="E1693" s="57" t="s">
        <v>364</v>
      </c>
      <c r="F1693" s="10"/>
      <c r="G1693" s="11">
        <v>1182.2</v>
      </c>
      <c r="H1693" s="31">
        <v>1182.2</v>
      </c>
      <c r="I1693" s="7">
        <f t="shared" ref="I1693:M1694" si="658">I1694</f>
        <v>0</v>
      </c>
      <c r="J1693" s="7">
        <f t="shared" si="658"/>
        <v>1182.2</v>
      </c>
      <c r="K1693" s="7">
        <f t="shared" si="658"/>
        <v>0</v>
      </c>
      <c r="L1693" s="7">
        <f t="shared" si="658"/>
        <v>1182.2</v>
      </c>
      <c r="M1693" s="7">
        <f t="shared" si="658"/>
        <v>0</v>
      </c>
      <c r="N1693" s="7">
        <v>1182.2</v>
      </c>
      <c r="O1693" s="7">
        <v>1182.2</v>
      </c>
      <c r="P1693" s="349">
        <v>1182.2</v>
      </c>
      <c r="Q1693" s="257">
        <v>100</v>
      </c>
    </row>
    <row r="1694" spans="1:17" s="12" customFormat="1" ht="78.75">
      <c r="A1694" s="8" t="s">
        <v>686</v>
      </c>
      <c r="B1694" s="57">
        <v>919</v>
      </c>
      <c r="C1694" s="57" t="s">
        <v>279</v>
      </c>
      <c r="D1694" s="57">
        <v>12</v>
      </c>
      <c r="E1694" s="57" t="s">
        <v>687</v>
      </c>
      <c r="F1694" s="10"/>
      <c r="G1694" s="11">
        <v>1182.2</v>
      </c>
      <c r="H1694" s="31">
        <v>1182.2</v>
      </c>
      <c r="I1694" s="7">
        <f t="shared" si="658"/>
        <v>0</v>
      </c>
      <c r="J1694" s="7">
        <f t="shared" si="658"/>
        <v>1182.2</v>
      </c>
      <c r="K1694" s="7">
        <f t="shared" si="658"/>
        <v>0</v>
      </c>
      <c r="L1694" s="7">
        <f t="shared" si="658"/>
        <v>1182.2</v>
      </c>
      <c r="M1694" s="7">
        <f t="shared" si="658"/>
        <v>0</v>
      </c>
      <c r="N1694" s="7">
        <v>1182.2</v>
      </c>
      <c r="O1694" s="7">
        <v>1182.2</v>
      </c>
      <c r="P1694" s="349">
        <v>1182.2</v>
      </c>
      <c r="Q1694" s="257">
        <v>100</v>
      </c>
    </row>
    <row r="1695" spans="1:17" s="12" customFormat="1" ht="47.25">
      <c r="A1695" s="8" t="s">
        <v>366</v>
      </c>
      <c r="B1695" s="57">
        <v>919</v>
      </c>
      <c r="C1695" s="57" t="s">
        <v>279</v>
      </c>
      <c r="D1695" s="57">
        <v>12</v>
      </c>
      <c r="E1695" s="57" t="s">
        <v>687</v>
      </c>
      <c r="F1695" s="10" t="s">
        <v>355</v>
      </c>
      <c r="G1695" s="11">
        <v>1182.2</v>
      </c>
      <c r="H1695" s="31">
        <v>1182.2</v>
      </c>
      <c r="I1695" s="7"/>
      <c r="J1695" s="7">
        <f>H1695+I1695</f>
        <v>1182.2</v>
      </c>
      <c r="K1695" s="7"/>
      <c r="L1695" s="7">
        <f>J1695+K1695</f>
        <v>1182.2</v>
      </c>
      <c r="M1695" s="7"/>
      <c r="N1695" s="7">
        <v>1182.2</v>
      </c>
      <c r="O1695" s="7">
        <v>1182.2</v>
      </c>
      <c r="P1695" s="349">
        <v>1182.2</v>
      </c>
      <c r="Q1695" s="257">
        <v>100</v>
      </c>
    </row>
    <row r="1696" spans="1:17" s="30" customFormat="1">
      <c r="A1696" s="26" t="s">
        <v>100</v>
      </c>
      <c r="B1696" s="73">
        <v>919</v>
      </c>
      <c r="C1696" s="27" t="s">
        <v>11</v>
      </c>
      <c r="D1696" s="27"/>
      <c r="E1696" s="27"/>
      <c r="F1696" s="27"/>
      <c r="G1696" s="28">
        <v>15766.3</v>
      </c>
      <c r="H1696" s="28">
        <v>257427</v>
      </c>
      <c r="I1696" s="29" t="e">
        <f t="shared" ref="I1696:M1696" si="659">I1697+I1704</f>
        <v>#REF!</v>
      </c>
      <c r="J1696" s="29">
        <f t="shared" si="659"/>
        <v>258527</v>
      </c>
      <c r="K1696" s="29">
        <f t="shared" si="659"/>
        <v>4954.8</v>
      </c>
      <c r="L1696" s="29">
        <f t="shared" si="659"/>
        <v>263481.8</v>
      </c>
      <c r="M1696" s="29">
        <f t="shared" si="659"/>
        <v>4111.2</v>
      </c>
      <c r="N1696" s="29">
        <v>267593</v>
      </c>
      <c r="O1696" s="29">
        <v>267593</v>
      </c>
      <c r="P1696" s="348">
        <v>267593</v>
      </c>
      <c r="Q1696" s="256">
        <v>100</v>
      </c>
    </row>
    <row r="1697" spans="1:17" s="30" customFormat="1">
      <c r="A1697" s="26" t="s">
        <v>292</v>
      </c>
      <c r="B1697" s="73">
        <v>919</v>
      </c>
      <c r="C1697" s="27" t="s">
        <v>11</v>
      </c>
      <c r="D1697" s="27" t="s">
        <v>34</v>
      </c>
      <c r="E1697" s="27"/>
      <c r="F1697" s="27"/>
      <c r="G1697" s="28">
        <v>-115.8</v>
      </c>
      <c r="H1697" s="28">
        <v>7457.6</v>
      </c>
      <c r="I1697" s="29">
        <f>I1701</f>
        <v>0</v>
      </c>
      <c r="J1697" s="29">
        <f t="shared" ref="J1697:M1697" si="660">J1701+J1698</f>
        <v>7457.6</v>
      </c>
      <c r="K1697" s="29">
        <f t="shared" si="660"/>
        <v>120</v>
      </c>
      <c r="L1697" s="29">
        <f t="shared" si="660"/>
        <v>7577.6</v>
      </c>
      <c r="M1697" s="29">
        <f t="shared" si="660"/>
        <v>0</v>
      </c>
      <c r="N1697" s="29">
        <v>7577.6</v>
      </c>
      <c r="O1697" s="29">
        <v>7577.6</v>
      </c>
      <c r="P1697" s="348">
        <v>7577.6</v>
      </c>
      <c r="Q1697" s="256">
        <v>100</v>
      </c>
    </row>
    <row r="1698" spans="1:17" s="30" customFormat="1">
      <c r="A1698" s="8" t="s">
        <v>17</v>
      </c>
      <c r="B1698" s="57">
        <v>919</v>
      </c>
      <c r="C1698" s="10" t="s">
        <v>11</v>
      </c>
      <c r="D1698" s="10" t="s">
        <v>34</v>
      </c>
      <c r="E1698" s="10" t="s">
        <v>18</v>
      </c>
      <c r="F1698" s="10"/>
      <c r="G1698" s="11"/>
      <c r="H1698" s="11"/>
      <c r="I1698" s="7"/>
      <c r="J1698" s="7">
        <f t="shared" ref="J1698:M1699" si="661">J1699</f>
        <v>0</v>
      </c>
      <c r="K1698" s="7">
        <f t="shared" si="661"/>
        <v>120</v>
      </c>
      <c r="L1698" s="7">
        <f t="shared" si="661"/>
        <v>120</v>
      </c>
      <c r="M1698" s="7">
        <f t="shared" si="661"/>
        <v>0</v>
      </c>
      <c r="N1698" s="7">
        <v>120</v>
      </c>
      <c r="O1698" s="7">
        <v>120</v>
      </c>
      <c r="P1698" s="349">
        <v>120</v>
      </c>
      <c r="Q1698" s="257">
        <v>100</v>
      </c>
    </row>
    <row r="1699" spans="1:17" s="30" customFormat="1" ht="31.5">
      <c r="A1699" s="8" t="s">
        <v>681</v>
      </c>
      <c r="B1699" s="57">
        <v>919</v>
      </c>
      <c r="C1699" s="10" t="s">
        <v>11</v>
      </c>
      <c r="D1699" s="10" t="s">
        <v>34</v>
      </c>
      <c r="E1699" s="10" t="s">
        <v>35</v>
      </c>
      <c r="F1699" s="10"/>
      <c r="G1699" s="11"/>
      <c r="H1699" s="11"/>
      <c r="I1699" s="7"/>
      <c r="J1699" s="7">
        <f t="shared" si="661"/>
        <v>0</v>
      </c>
      <c r="K1699" s="7">
        <f t="shared" si="661"/>
        <v>120</v>
      </c>
      <c r="L1699" s="7">
        <f t="shared" si="661"/>
        <v>120</v>
      </c>
      <c r="M1699" s="7">
        <f t="shared" si="661"/>
        <v>0</v>
      </c>
      <c r="N1699" s="7">
        <v>120</v>
      </c>
      <c r="O1699" s="7">
        <v>120</v>
      </c>
      <c r="P1699" s="349">
        <v>120</v>
      </c>
      <c r="Q1699" s="257">
        <v>100</v>
      </c>
    </row>
    <row r="1700" spans="1:17" s="30" customFormat="1">
      <c r="A1700" s="8" t="s">
        <v>362</v>
      </c>
      <c r="B1700" s="57">
        <v>919</v>
      </c>
      <c r="C1700" s="10" t="s">
        <v>11</v>
      </c>
      <c r="D1700" s="10" t="s">
        <v>34</v>
      </c>
      <c r="E1700" s="10" t="s">
        <v>35</v>
      </c>
      <c r="F1700" s="10" t="s">
        <v>334</v>
      </c>
      <c r="G1700" s="11"/>
      <c r="H1700" s="11"/>
      <c r="I1700" s="7"/>
      <c r="J1700" s="7"/>
      <c r="K1700" s="7">
        <v>120</v>
      </c>
      <c r="L1700" s="7">
        <f>J1700+K1700</f>
        <v>120</v>
      </c>
      <c r="M1700" s="7"/>
      <c r="N1700" s="7">
        <v>120</v>
      </c>
      <c r="O1700" s="7">
        <v>120</v>
      </c>
      <c r="P1700" s="349">
        <v>120</v>
      </c>
      <c r="Q1700" s="257">
        <v>100</v>
      </c>
    </row>
    <row r="1701" spans="1:17" s="12" customFormat="1">
      <c r="A1701" s="8" t="s">
        <v>293</v>
      </c>
      <c r="B1701" s="57">
        <v>919</v>
      </c>
      <c r="C1701" s="10" t="s">
        <v>11</v>
      </c>
      <c r="D1701" s="10" t="s">
        <v>34</v>
      </c>
      <c r="E1701" s="10" t="s">
        <v>294</v>
      </c>
      <c r="F1701" s="10"/>
      <c r="G1701" s="11">
        <v>-115.8</v>
      </c>
      <c r="H1701" s="11">
        <v>7457.6</v>
      </c>
      <c r="I1701" s="7">
        <f t="shared" ref="I1701:M1702" si="662">I1702</f>
        <v>0</v>
      </c>
      <c r="J1701" s="7">
        <f t="shared" si="662"/>
        <v>7457.6</v>
      </c>
      <c r="K1701" s="7">
        <f t="shared" si="662"/>
        <v>0</v>
      </c>
      <c r="L1701" s="7">
        <f t="shared" si="662"/>
        <v>7457.6</v>
      </c>
      <c r="M1701" s="7">
        <f t="shared" si="662"/>
        <v>0</v>
      </c>
      <c r="N1701" s="7">
        <v>7457.6</v>
      </c>
      <c r="O1701" s="7">
        <v>7457.6</v>
      </c>
      <c r="P1701" s="349">
        <v>7457.6</v>
      </c>
      <c r="Q1701" s="257">
        <v>100</v>
      </c>
    </row>
    <row r="1702" spans="1:17" s="12" customFormat="1" ht="31.5">
      <c r="A1702" s="8" t="s">
        <v>295</v>
      </c>
      <c r="B1702" s="57">
        <v>919</v>
      </c>
      <c r="C1702" s="10" t="s">
        <v>11</v>
      </c>
      <c r="D1702" s="10" t="s">
        <v>34</v>
      </c>
      <c r="E1702" s="10" t="s">
        <v>296</v>
      </c>
      <c r="F1702" s="10"/>
      <c r="G1702" s="11">
        <v>-115.8</v>
      </c>
      <c r="H1702" s="31">
        <v>7457.6</v>
      </c>
      <c r="I1702" s="7">
        <f t="shared" si="662"/>
        <v>0</v>
      </c>
      <c r="J1702" s="7">
        <f t="shared" si="662"/>
        <v>7457.6</v>
      </c>
      <c r="K1702" s="7">
        <f t="shared" si="662"/>
        <v>0</v>
      </c>
      <c r="L1702" s="7">
        <f t="shared" si="662"/>
        <v>7457.6</v>
      </c>
      <c r="M1702" s="7">
        <f t="shared" si="662"/>
        <v>0</v>
      </c>
      <c r="N1702" s="7">
        <v>7457.6</v>
      </c>
      <c r="O1702" s="7">
        <v>7457.6</v>
      </c>
      <c r="P1702" s="349">
        <v>7457.6</v>
      </c>
      <c r="Q1702" s="257">
        <v>100</v>
      </c>
    </row>
    <row r="1703" spans="1:17" s="12" customFormat="1">
      <c r="A1703" s="8" t="s">
        <v>362</v>
      </c>
      <c r="B1703" s="57">
        <v>919</v>
      </c>
      <c r="C1703" s="10" t="s">
        <v>11</v>
      </c>
      <c r="D1703" s="10" t="s">
        <v>34</v>
      </c>
      <c r="E1703" s="10" t="s">
        <v>296</v>
      </c>
      <c r="F1703" s="10" t="s">
        <v>334</v>
      </c>
      <c r="G1703" s="11">
        <v>-115.8</v>
      </c>
      <c r="H1703" s="31">
        <v>7457.6</v>
      </c>
      <c r="I1703" s="7"/>
      <c r="J1703" s="7">
        <f>H1703+I1703</f>
        <v>7457.6</v>
      </c>
      <c r="K1703" s="7"/>
      <c r="L1703" s="7">
        <f>J1703+K1703</f>
        <v>7457.6</v>
      </c>
      <c r="M1703" s="7"/>
      <c r="N1703" s="7">
        <v>7457.6</v>
      </c>
      <c r="O1703" s="7">
        <v>7457.6</v>
      </c>
      <c r="P1703" s="349">
        <v>7457.6</v>
      </c>
      <c r="Q1703" s="257">
        <v>100</v>
      </c>
    </row>
    <row r="1704" spans="1:17" s="30" customFormat="1">
      <c r="A1704" s="26" t="s">
        <v>297</v>
      </c>
      <c r="B1704" s="73">
        <v>919</v>
      </c>
      <c r="C1704" s="27" t="s">
        <v>11</v>
      </c>
      <c r="D1704" s="27" t="s">
        <v>9</v>
      </c>
      <c r="E1704" s="27"/>
      <c r="F1704" s="27"/>
      <c r="G1704" s="28">
        <v>15882.1</v>
      </c>
      <c r="H1704" s="28">
        <v>249969.4</v>
      </c>
      <c r="I1704" s="29" t="e">
        <f>I1705+I1713</f>
        <v>#REF!</v>
      </c>
      <c r="J1704" s="29">
        <f>J1705+J1713</f>
        <v>251069.4</v>
      </c>
      <c r="K1704" s="29">
        <f t="shared" ref="K1704:M1704" si="663">K1705+K1713+K1721</f>
        <v>4834.8</v>
      </c>
      <c r="L1704" s="29">
        <f t="shared" si="663"/>
        <v>255904.2</v>
      </c>
      <c r="M1704" s="29">
        <f t="shared" si="663"/>
        <v>4111.2</v>
      </c>
      <c r="N1704" s="29">
        <v>260015.4</v>
      </c>
      <c r="O1704" s="29">
        <v>260015.4</v>
      </c>
      <c r="P1704" s="348">
        <v>260015.4</v>
      </c>
      <c r="Q1704" s="256">
        <v>100</v>
      </c>
    </row>
    <row r="1705" spans="1:17" s="12" customFormat="1">
      <c r="A1705" s="8" t="s">
        <v>298</v>
      </c>
      <c r="B1705" s="57">
        <v>919</v>
      </c>
      <c r="C1705" s="10" t="s">
        <v>11</v>
      </c>
      <c r="D1705" s="10" t="s">
        <v>9</v>
      </c>
      <c r="E1705" s="10" t="s">
        <v>299</v>
      </c>
      <c r="F1705" s="10"/>
      <c r="G1705" s="11">
        <v>8291.6</v>
      </c>
      <c r="H1705" s="11">
        <v>242378.9</v>
      </c>
      <c r="I1705" s="7" t="e">
        <f>I1706+#REF!</f>
        <v>#REF!</v>
      </c>
      <c r="J1705" s="7">
        <f t="shared" ref="J1705:M1705" si="664">J1706</f>
        <v>242378.9</v>
      </c>
      <c r="K1705" s="7">
        <f t="shared" si="664"/>
        <v>0</v>
      </c>
      <c r="L1705" s="7">
        <f t="shared" si="664"/>
        <v>242378.9</v>
      </c>
      <c r="M1705" s="7">
        <f t="shared" si="664"/>
        <v>4111.2</v>
      </c>
      <c r="N1705" s="7">
        <v>246490.1</v>
      </c>
      <c r="O1705" s="7">
        <v>246490.1</v>
      </c>
      <c r="P1705" s="349">
        <v>246490.1</v>
      </c>
      <c r="Q1705" s="257">
        <v>100</v>
      </c>
    </row>
    <row r="1706" spans="1:17" s="12" customFormat="1" ht="31.5">
      <c r="A1706" s="8" t="s">
        <v>300</v>
      </c>
      <c r="B1706" s="57">
        <v>919</v>
      </c>
      <c r="C1706" s="10" t="s">
        <v>11</v>
      </c>
      <c r="D1706" s="10" t="s">
        <v>9</v>
      </c>
      <c r="E1706" s="10" t="s">
        <v>301</v>
      </c>
      <c r="F1706" s="10"/>
      <c r="G1706" s="11">
        <v>9382.1</v>
      </c>
      <c r="H1706" s="11">
        <v>242378.9</v>
      </c>
      <c r="I1706" s="7">
        <f t="shared" ref="I1706:M1706" si="665">I1707+I1708+I1709+I1710+I1711+I1712</f>
        <v>0</v>
      </c>
      <c r="J1706" s="7">
        <f t="shared" si="665"/>
        <v>242378.9</v>
      </c>
      <c r="K1706" s="7">
        <f t="shared" si="665"/>
        <v>0</v>
      </c>
      <c r="L1706" s="7">
        <f t="shared" si="665"/>
        <v>242378.9</v>
      </c>
      <c r="M1706" s="7">
        <f t="shared" si="665"/>
        <v>4111.2</v>
      </c>
      <c r="N1706" s="7">
        <v>246490.1</v>
      </c>
      <c r="O1706" s="7">
        <v>246490.1</v>
      </c>
      <c r="P1706" s="349">
        <v>246490.1</v>
      </c>
      <c r="Q1706" s="257">
        <v>100</v>
      </c>
    </row>
    <row r="1707" spans="1:17" s="12" customFormat="1">
      <c r="A1707" s="8" t="s">
        <v>337</v>
      </c>
      <c r="B1707" s="57">
        <v>919</v>
      </c>
      <c r="C1707" s="10" t="s">
        <v>11</v>
      </c>
      <c r="D1707" s="10" t="s">
        <v>9</v>
      </c>
      <c r="E1707" s="10" t="s">
        <v>301</v>
      </c>
      <c r="F1707" s="10" t="s">
        <v>331</v>
      </c>
      <c r="G1707" s="11">
        <v>15730.6</v>
      </c>
      <c r="H1707" s="31">
        <v>72813.899999999994</v>
      </c>
      <c r="I1707" s="7"/>
      <c r="J1707" s="7">
        <f t="shared" ref="J1707:J1712" si="666">H1707+I1707</f>
        <v>72813.899999999994</v>
      </c>
      <c r="K1707" s="7"/>
      <c r="L1707" s="7">
        <f t="shared" ref="L1707:L1712" si="667">J1707+K1707</f>
        <v>72813.899999999994</v>
      </c>
      <c r="M1707" s="7"/>
      <c r="N1707" s="7">
        <v>72813.899999999994</v>
      </c>
      <c r="O1707" s="7">
        <v>72813.899999999994</v>
      </c>
      <c r="P1707" s="349">
        <v>72813.899999999994</v>
      </c>
      <c r="Q1707" s="257">
        <v>100</v>
      </c>
    </row>
    <row r="1708" spans="1:17" s="12" customFormat="1">
      <c r="A1708" s="8" t="s">
        <v>356</v>
      </c>
      <c r="B1708" s="57">
        <v>919</v>
      </c>
      <c r="C1708" s="10" t="s">
        <v>11</v>
      </c>
      <c r="D1708" s="10" t="s">
        <v>9</v>
      </c>
      <c r="E1708" s="10" t="s">
        <v>301</v>
      </c>
      <c r="F1708" s="10" t="s">
        <v>332</v>
      </c>
      <c r="G1708" s="11">
        <v>1300</v>
      </c>
      <c r="H1708" s="31">
        <v>1300</v>
      </c>
      <c r="I1708" s="7">
        <v>-150</v>
      </c>
      <c r="J1708" s="7">
        <f t="shared" si="666"/>
        <v>1150</v>
      </c>
      <c r="K1708" s="7"/>
      <c r="L1708" s="7">
        <f t="shared" si="667"/>
        <v>1150</v>
      </c>
      <c r="M1708" s="7">
        <v>11</v>
      </c>
      <c r="N1708" s="7">
        <v>1161</v>
      </c>
      <c r="O1708" s="7">
        <v>1161</v>
      </c>
      <c r="P1708" s="349">
        <v>1161</v>
      </c>
      <c r="Q1708" s="257">
        <v>100</v>
      </c>
    </row>
    <row r="1709" spans="1:17" s="12" customFormat="1" ht="31.5">
      <c r="A1709" s="8" t="s">
        <v>361</v>
      </c>
      <c r="B1709" s="57">
        <v>919</v>
      </c>
      <c r="C1709" s="10" t="s">
        <v>11</v>
      </c>
      <c r="D1709" s="10" t="s">
        <v>9</v>
      </c>
      <c r="E1709" s="10" t="s">
        <v>301</v>
      </c>
      <c r="F1709" s="10" t="s">
        <v>333</v>
      </c>
      <c r="G1709" s="11">
        <v>-1246.3</v>
      </c>
      <c r="H1709" s="31">
        <v>3570</v>
      </c>
      <c r="I1709" s="7">
        <v>1000</v>
      </c>
      <c r="J1709" s="7">
        <f t="shared" si="666"/>
        <v>4570</v>
      </c>
      <c r="K1709" s="7">
        <f>100+100</f>
        <v>200</v>
      </c>
      <c r="L1709" s="7">
        <f t="shared" si="667"/>
        <v>4770</v>
      </c>
      <c r="M1709" s="7">
        <v>100</v>
      </c>
      <c r="N1709" s="7">
        <v>4870</v>
      </c>
      <c r="O1709" s="7">
        <v>4870</v>
      </c>
      <c r="P1709" s="349">
        <v>4870</v>
      </c>
      <c r="Q1709" s="257">
        <v>100</v>
      </c>
    </row>
    <row r="1710" spans="1:17" s="12" customFormat="1">
      <c r="A1710" s="8" t="s">
        <v>362</v>
      </c>
      <c r="B1710" s="57">
        <v>919</v>
      </c>
      <c r="C1710" s="10" t="s">
        <v>11</v>
      </c>
      <c r="D1710" s="10" t="s">
        <v>9</v>
      </c>
      <c r="E1710" s="10" t="s">
        <v>301</v>
      </c>
      <c r="F1710" s="10" t="s">
        <v>334</v>
      </c>
      <c r="G1710" s="11">
        <v>-136588.70000000001</v>
      </c>
      <c r="H1710" s="31">
        <v>25317.4</v>
      </c>
      <c r="I1710" s="7">
        <v>-750</v>
      </c>
      <c r="J1710" s="7">
        <f t="shared" si="666"/>
        <v>24567.4</v>
      </c>
      <c r="K1710" s="7">
        <f>-100-5.4</f>
        <v>-105.4</v>
      </c>
      <c r="L1710" s="7">
        <f t="shared" si="667"/>
        <v>24462</v>
      </c>
      <c r="M1710" s="7">
        <v>-94</v>
      </c>
      <c r="N1710" s="7">
        <v>24368</v>
      </c>
      <c r="O1710" s="7">
        <v>24368</v>
      </c>
      <c r="P1710" s="349">
        <v>24368</v>
      </c>
      <c r="Q1710" s="257">
        <v>100</v>
      </c>
    </row>
    <row r="1711" spans="1:17" s="12" customFormat="1" ht="47.25">
      <c r="A1711" s="8" t="s">
        <v>366</v>
      </c>
      <c r="B1711" s="57">
        <v>919</v>
      </c>
      <c r="C1711" s="10" t="s">
        <v>11</v>
      </c>
      <c r="D1711" s="10" t="s">
        <v>9</v>
      </c>
      <c r="E1711" s="10" t="s">
        <v>301</v>
      </c>
      <c r="F1711" s="10" t="s">
        <v>355</v>
      </c>
      <c r="G1711" s="11">
        <v>129956.5</v>
      </c>
      <c r="H1711" s="31">
        <v>139147.6</v>
      </c>
      <c r="I1711" s="7"/>
      <c r="J1711" s="7">
        <f t="shared" si="666"/>
        <v>139147.6</v>
      </c>
      <c r="K1711" s="7"/>
      <c r="L1711" s="7">
        <f t="shared" si="667"/>
        <v>139147.6</v>
      </c>
      <c r="M1711" s="7">
        <v>4111.2</v>
      </c>
      <c r="N1711" s="7">
        <v>143258.79999999999</v>
      </c>
      <c r="O1711" s="7">
        <v>143258.79999999999</v>
      </c>
      <c r="P1711" s="349">
        <v>143258.79999999999</v>
      </c>
      <c r="Q1711" s="257">
        <v>100</v>
      </c>
    </row>
    <row r="1712" spans="1:17" s="12" customFormat="1">
      <c r="A1712" s="8" t="s">
        <v>380</v>
      </c>
      <c r="B1712" s="57">
        <v>919</v>
      </c>
      <c r="C1712" s="10" t="s">
        <v>11</v>
      </c>
      <c r="D1712" s="10" t="s">
        <v>9</v>
      </c>
      <c r="E1712" s="10" t="s">
        <v>301</v>
      </c>
      <c r="F1712" s="10" t="s">
        <v>336</v>
      </c>
      <c r="G1712" s="11">
        <v>230</v>
      </c>
      <c r="H1712" s="31">
        <v>230</v>
      </c>
      <c r="I1712" s="7">
        <v>-100</v>
      </c>
      <c r="J1712" s="7">
        <f t="shared" si="666"/>
        <v>130</v>
      </c>
      <c r="K1712" s="7">
        <v>-94.6</v>
      </c>
      <c r="L1712" s="7">
        <f t="shared" si="667"/>
        <v>35.4</v>
      </c>
      <c r="M1712" s="7">
        <v>-17</v>
      </c>
      <c r="N1712" s="7">
        <v>18.399999999999999</v>
      </c>
      <c r="O1712" s="7">
        <v>18.399999999999999</v>
      </c>
      <c r="P1712" s="349">
        <v>18.399999999999999</v>
      </c>
      <c r="Q1712" s="257">
        <v>100</v>
      </c>
    </row>
    <row r="1713" spans="1:17" s="12" customFormat="1">
      <c r="A1713" s="8" t="s">
        <v>17</v>
      </c>
      <c r="B1713" s="57">
        <v>919</v>
      </c>
      <c r="C1713" s="10" t="s">
        <v>11</v>
      </c>
      <c r="D1713" s="10" t="s">
        <v>9</v>
      </c>
      <c r="E1713" s="10" t="s">
        <v>18</v>
      </c>
      <c r="F1713" s="10"/>
      <c r="G1713" s="11">
        <v>7590.5</v>
      </c>
      <c r="H1713" s="11">
        <v>7590.5</v>
      </c>
      <c r="I1713" s="7">
        <f t="shared" ref="I1713:M1713" si="668">I1714</f>
        <v>1100</v>
      </c>
      <c r="J1713" s="7">
        <f t="shared" si="668"/>
        <v>8690.5</v>
      </c>
      <c r="K1713" s="7">
        <f t="shared" si="668"/>
        <v>4000</v>
      </c>
      <c r="L1713" s="7">
        <f t="shared" si="668"/>
        <v>12690.5</v>
      </c>
      <c r="M1713" s="7">
        <f t="shared" si="668"/>
        <v>0</v>
      </c>
      <c r="N1713" s="7">
        <v>12690.5</v>
      </c>
      <c r="O1713" s="7">
        <v>12690.5</v>
      </c>
      <c r="P1713" s="349">
        <v>12690.5</v>
      </c>
      <c r="Q1713" s="257">
        <v>100</v>
      </c>
    </row>
    <row r="1714" spans="1:17" s="21" customFormat="1" ht="31.5">
      <c r="A1714" s="8" t="s">
        <v>664</v>
      </c>
      <c r="B1714" s="57">
        <v>919</v>
      </c>
      <c r="C1714" s="10" t="s">
        <v>11</v>
      </c>
      <c r="D1714" s="10" t="s">
        <v>9</v>
      </c>
      <c r="E1714" s="10" t="s">
        <v>665</v>
      </c>
      <c r="F1714" s="10"/>
      <c r="G1714" s="11">
        <v>7590.5</v>
      </c>
      <c r="H1714" s="11">
        <v>7590.5</v>
      </c>
      <c r="I1714" s="7">
        <f>I1715+I1717+I1718+I1719+I1720</f>
        <v>1100</v>
      </c>
      <c r="J1714" s="7">
        <f>J1715+J1717+J1718+J1719+J1720</f>
        <v>8690.5</v>
      </c>
      <c r="K1714" s="7">
        <f t="shared" ref="K1714:M1714" si="669">K1715+K1717+K1718+K1719+K1720+K1716</f>
        <v>4000</v>
      </c>
      <c r="L1714" s="7">
        <f t="shared" si="669"/>
        <v>12690.5</v>
      </c>
      <c r="M1714" s="7">
        <f t="shared" si="669"/>
        <v>0</v>
      </c>
      <c r="N1714" s="7">
        <v>12690.5</v>
      </c>
      <c r="O1714" s="7">
        <v>12690.5</v>
      </c>
      <c r="P1714" s="349">
        <v>12690.5</v>
      </c>
      <c r="Q1714" s="257">
        <v>100</v>
      </c>
    </row>
    <row r="1715" spans="1:17" s="21" customFormat="1" ht="31.5">
      <c r="A1715" s="8" t="s">
        <v>421</v>
      </c>
      <c r="B1715" s="57">
        <v>919</v>
      </c>
      <c r="C1715" s="10" t="s">
        <v>11</v>
      </c>
      <c r="D1715" s="10" t="s">
        <v>9</v>
      </c>
      <c r="E1715" s="10" t="s">
        <v>665</v>
      </c>
      <c r="F1715" s="10" t="s">
        <v>420</v>
      </c>
      <c r="G1715" s="11">
        <v>1000</v>
      </c>
      <c r="H1715" s="11">
        <v>1000</v>
      </c>
      <c r="I1715" s="7"/>
      <c r="J1715" s="7">
        <f>H1715+I1715</f>
        <v>1000</v>
      </c>
      <c r="K1715" s="7">
        <v>204.9</v>
      </c>
      <c r="L1715" s="7">
        <f t="shared" ref="L1715:L1720" si="670">J1715+K1715</f>
        <v>1204.9000000000001</v>
      </c>
      <c r="M1715" s="7"/>
      <c r="N1715" s="7">
        <v>1204.9000000000001</v>
      </c>
      <c r="O1715" s="7">
        <v>1204.9000000000001</v>
      </c>
      <c r="P1715" s="349">
        <v>1204.9000000000001</v>
      </c>
      <c r="Q1715" s="257">
        <v>100</v>
      </c>
    </row>
    <row r="1716" spans="1:17" s="21" customFormat="1">
      <c r="A1716" s="8" t="s">
        <v>362</v>
      </c>
      <c r="B1716" s="57">
        <v>919</v>
      </c>
      <c r="C1716" s="10" t="s">
        <v>11</v>
      </c>
      <c r="D1716" s="10" t="s">
        <v>9</v>
      </c>
      <c r="E1716" s="10" t="s">
        <v>665</v>
      </c>
      <c r="F1716" s="10" t="s">
        <v>334</v>
      </c>
      <c r="G1716" s="11"/>
      <c r="H1716" s="11"/>
      <c r="I1716" s="7"/>
      <c r="J1716" s="7"/>
      <c r="K1716" s="7">
        <v>115.2</v>
      </c>
      <c r="L1716" s="7">
        <f t="shared" si="670"/>
        <v>115.2</v>
      </c>
      <c r="M1716" s="7"/>
      <c r="N1716" s="7">
        <v>115.2</v>
      </c>
      <c r="O1716" s="7">
        <v>115.2</v>
      </c>
      <c r="P1716" s="349">
        <v>115.2</v>
      </c>
      <c r="Q1716" s="257">
        <v>100</v>
      </c>
    </row>
    <row r="1717" spans="1:17" s="21" customFormat="1" ht="47.25">
      <c r="A1717" s="8" t="s">
        <v>366</v>
      </c>
      <c r="B1717" s="57">
        <v>919</v>
      </c>
      <c r="C1717" s="10" t="s">
        <v>11</v>
      </c>
      <c r="D1717" s="10" t="s">
        <v>9</v>
      </c>
      <c r="E1717" s="10" t="s">
        <v>665</v>
      </c>
      <c r="F1717" s="10" t="s">
        <v>355</v>
      </c>
      <c r="G1717" s="11">
        <v>4000</v>
      </c>
      <c r="H1717" s="11">
        <v>4000</v>
      </c>
      <c r="I1717" s="7">
        <v>1100</v>
      </c>
      <c r="J1717" s="7">
        <f>H1717+I1717</f>
        <v>5100</v>
      </c>
      <c r="K1717" s="7">
        <v>4000</v>
      </c>
      <c r="L1717" s="7">
        <f t="shared" si="670"/>
        <v>9100</v>
      </c>
      <c r="M1717" s="7"/>
      <c r="N1717" s="7">
        <v>9100</v>
      </c>
      <c r="O1717" s="7">
        <v>9100</v>
      </c>
      <c r="P1717" s="349">
        <v>9100</v>
      </c>
      <c r="Q1717" s="257">
        <v>100</v>
      </c>
    </row>
    <row r="1718" spans="1:17" s="12" customFormat="1">
      <c r="A1718" s="8" t="s">
        <v>367</v>
      </c>
      <c r="B1718" s="57">
        <v>919</v>
      </c>
      <c r="C1718" s="10" t="s">
        <v>11</v>
      </c>
      <c r="D1718" s="10" t="s">
        <v>9</v>
      </c>
      <c r="E1718" s="10" t="s">
        <v>665</v>
      </c>
      <c r="F1718" s="10" t="s">
        <v>365</v>
      </c>
      <c r="G1718" s="11">
        <v>1500</v>
      </c>
      <c r="H1718" s="11">
        <v>1500</v>
      </c>
      <c r="I1718" s="7"/>
      <c r="J1718" s="7">
        <f>H1718+I1718</f>
        <v>1500</v>
      </c>
      <c r="K1718" s="7">
        <v>-115.2</v>
      </c>
      <c r="L1718" s="7">
        <f t="shared" si="670"/>
        <v>1384.8</v>
      </c>
      <c r="M1718" s="7"/>
      <c r="N1718" s="7">
        <v>1384.8</v>
      </c>
      <c r="O1718" s="7">
        <v>1384.8</v>
      </c>
      <c r="P1718" s="349">
        <v>1384.8</v>
      </c>
      <c r="Q1718" s="257">
        <v>100</v>
      </c>
    </row>
    <row r="1719" spans="1:17" s="21" customFormat="1">
      <c r="A1719" s="8" t="s">
        <v>384</v>
      </c>
      <c r="B1719" s="57">
        <v>919</v>
      </c>
      <c r="C1719" s="10" t="s">
        <v>11</v>
      </c>
      <c r="D1719" s="10" t="s">
        <v>9</v>
      </c>
      <c r="E1719" s="10" t="s">
        <v>665</v>
      </c>
      <c r="F1719" s="10" t="s">
        <v>335</v>
      </c>
      <c r="G1719" s="11">
        <v>940.5</v>
      </c>
      <c r="H1719" s="11">
        <v>940.5</v>
      </c>
      <c r="I1719" s="7"/>
      <c r="J1719" s="7">
        <f>H1719+I1719</f>
        <v>940.5</v>
      </c>
      <c r="K1719" s="7">
        <v>-146.69999999999999</v>
      </c>
      <c r="L1719" s="7">
        <f t="shared" si="670"/>
        <v>793.8</v>
      </c>
      <c r="M1719" s="7"/>
      <c r="N1719" s="7">
        <v>793.8</v>
      </c>
      <c r="O1719" s="7">
        <v>793.8</v>
      </c>
      <c r="P1719" s="349">
        <v>793.8</v>
      </c>
      <c r="Q1719" s="257">
        <v>100</v>
      </c>
    </row>
    <row r="1720" spans="1:17" s="21" customFormat="1">
      <c r="A1720" s="8" t="s">
        <v>380</v>
      </c>
      <c r="B1720" s="57">
        <v>919</v>
      </c>
      <c r="C1720" s="10" t="s">
        <v>11</v>
      </c>
      <c r="D1720" s="10" t="s">
        <v>9</v>
      </c>
      <c r="E1720" s="10" t="s">
        <v>665</v>
      </c>
      <c r="F1720" s="10" t="s">
        <v>336</v>
      </c>
      <c r="G1720" s="11">
        <v>150</v>
      </c>
      <c r="H1720" s="11">
        <v>150</v>
      </c>
      <c r="I1720" s="7"/>
      <c r="J1720" s="7">
        <f>H1720+I1720</f>
        <v>150</v>
      </c>
      <c r="K1720" s="7">
        <v>-58.2</v>
      </c>
      <c r="L1720" s="7">
        <f t="shared" si="670"/>
        <v>91.8</v>
      </c>
      <c r="M1720" s="7"/>
      <c r="N1720" s="7">
        <v>91.8</v>
      </c>
      <c r="O1720" s="7">
        <v>91.8</v>
      </c>
      <c r="P1720" s="349">
        <v>91.8</v>
      </c>
      <c r="Q1720" s="257">
        <v>100</v>
      </c>
    </row>
    <row r="1721" spans="1:17" s="21" customFormat="1" ht="31.5">
      <c r="A1721" s="8" t="s">
        <v>915</v>
      </c>
      <c r="B1721" s="57">
        <v>919</v>
      </c>
      <c r="C1721" s="10" t="s">
        <v>11</v>
      </c>
      <c r="D1721" s="10" t="s">
        <v>9</v>
      </c>
      <c r="E1721" s="10" t="s">
        <v>636</v>
      </c>
      <c r="F1721" s="10"/>
      <c r="G1721" s="11"/>
      <c r="H1721" s="11"/>
      <c r="I1721" s="7"/>
      <c r="J1721" s="7"/>
      <c r="K1721" s="7">
        <f t="shared" ref="K1721:M1721" si="671">K1722</f>
        <v>834.8</v>
      </c>
      <c r="L1721" s="7">
        <f t="shared" si="671"/>
        <v>834.8</v>
      </c>
      <c r="M1721" s="7">
        <f t="shared" si="671"/>
        <v>0</v>
      </c>
      <c r="N1721" s="7">
        <v>834.8</v>
      </c>
      <c r="O1721" s="7">
        <v>834.8</v>
      </c>
      <c r="P1721" s="349">
        <v>834.8</v>
      </c>
      <c r="Q1721" s="257">
        <v>100</v>
      </c>
    </row>
    <row r="1722" spans="1:17" s="21" customFormat="1">
      <c r="A1722" s="8" t="s">
        <v>362</v>
      </c>
      <c r="B1722" s="57">
        <v>919</v>
      </c>
      <c r="C1722" s="10" t="s">
        <v>11</v>
      </c>
      <c r="D1722" s="10" t="s">
        <v>9</v>
      </c>
      <c r="E1722" s="10" t="s">
        <v>636</v>
      </c>
      <c r="F1722" s="10" t="s">
        <v>334</v>
      </c>
      <c r="G1722" s="11"/>
      <c r="H1722" s="11"/>
      <c r="I1722" s="7"/>
      <c r="J1722" s="7"/>
      <c r="K1722" s="7">
        <v>834.8</v>
      </c>
      <c r="L1722" s="7">
        <f>J1722+K1722</f>
        <v>834.8</v>
      </c>
      <c r="M1722" s="7"/>
      <c r="N1722" s="7">
        <v>834.8</v>
      </c>
      <c r="O1722" s="7">
        <v>834.8</v>
      </c>
      <c r="P1722" s="349">
        <v>834.8</v>
      </c>
      <c r="Q1722" s="257">
        <v>100</v>
      </c>
    </row>
    <row r="1723" spans="1:17" s="30" customFormat="1">
      <c r="A1723" s="26" t="s">
        <v>302</v>
      </c>
      <c r="B1723" s="73">
        <v>919</v>
      </c>
      <c r="C1723" s="27" t="s">
        <v>34</v>
      </c>
      <c r="D1723" s="27"/>
      <c r="E1723" s="27"/>
      <c r="F1723" s="27"/>
      <c r="G1723" s="28">
        <v>2037.1</v>
      </c>
      <c r="H1723" s="28">
        <v>14667.7</v>
      </c>
      <c r="I1723" s="29" t="e">
        <f>I1728+I1736</f>
        <v>#REF!</v>
      </c>
      <c r="J1723" s="29" t="e">
        <f>J1728+J1736+J1724</f>
        <v>#REF!</v>
      </c>
      <c r="K1723" s="29" t="e">
        <f>K1728+K1736+K1724</f>
        <v>#REF!</v>
      </c>
      <c r="L1723" s="29" t="e">
        <f>L1728+L1736+L1724</f>
        <v>#REF!</v>
      </c>
      <c r="M1723" s="29" t="e">
        <f>M1728+M1736+M1724</f>
        <v>#REF!</v>
      </c>
      <c r="N1723" s="29">
        <v>15136.3</v>
      </c>
      <c r="O1723" s="29">
        <v>15136.3</v>
      </c>
      <c r="P1723" s="348">
        <v>15136.3</v>
      </c>
      <c r="Q1723" s="256">
        <v>100</v>
      </c>
    </row>
    <row r="1724" spans="1:17" s="30" customFormat="1">
      <c r="A1724" s="26" t="s">
        <v>941</v>
      </c>
      <c r="B1724" s="73">
        <v>919</v>
      </c>
      <c r="C1724" s="27" t="s">
        <v>34</v>
      </c>
      <c r="D1724" s="27" t="s">
        <v>16</v>
      </c>
      <c r="E1724" s="27"/>
      <c r="F1724" s="27"/>
      <c r="G1724" s="28"/>
      <c r="H1724" s="28"/>
      <c r="I1724" s="29"/>
      <c r="J1724" s="7" t="e">
        <f>#REF!+J1725</f>
        <v>#REF!</v>
      </c>
      <c r="K1724" s="7" t="e">
        <f>#REF!+K1725</f>
        <v>#REF!</v>
      </c>
      <c r="L1724" s="7" t="e">
        <f>#REF!+L1725</f>
        <v>#REF!</v>
      </c>
      <c r="M1724" s="7" t="e">
        <f>#REF!+M1725</f>
        <v>#REF!</v>
      </c>
      <c r="N1724" s="7">
        <v>250</v>
      </c>
      <c r="O1724" s="7">
        <v>250</v>
      </c>
      <c r="P1724" s="349">
        <v>250</v>
      </c>
      <c r="Q1724" s="256">
        <v>100</v>
      </c>
    </row>
    <row r="1725" spans="1:17" s="30" customFormat="1">
      <c r="A1725" s="8" t="s">
        <v>363</v>
      </c>
      <c r="B1725" s="57">
        <v>919</v>
      </c>
      <c r="C1725" s="10" t="s">
        <v>34</v>
      </c>
      <c r="D1725" s="10" t="s">
        <v>16</v>
      </c>
      <c r="E1725" s="10" t="s">
        <v>682</v>
      </c>
      <c r="F1725" s="10"/>
      <c r="G1725" s="28"/>
      <c r="H1725" s="28"/>
      <c r="I1725" s="29"/>
      <c r="J1725" s="7">
        <f t="shared" ref="J1725:M1726" si="672">J1726</f>
        <v>0</v>
      </c>
      <c r="K1725" s="7">
        <f t="shared" si="672"/>
        <v>250</v>
      </c>
      <c r="L1725" s="7">
        <f t="shared" si="672"/>
        <v>250</v>
      </c>
      <c r="M1725" s="7">
        <f t="shared" si="672"/>
        <v>0</v>
      </c>
      <c r="N1725" s="7">
        <v>250</v>
      </c>
      <c r="O1725" s="7">
        <v>250</v>
      </c>
      <c r="P1725" s="349">
        <v>250</v>
      </c>
      <c r="Q1725" s="257">
        <v>100</v>
      </c>
    </row>
    <row r="1726" spans="1:17" s="30" customFormat="1" ht="31.5">
      <c r="A1726" s="8" t="s">
        <v>1008</v>
      </c>
      <c r="B1726" s="57">
        <v>919</v>
      </c>
      <c r="C1726" s="10" t="s">
        <v>34</v>
      </c>
      <c r="D1726" s="10" t="s">
        <v>16</v>
      </c>
      <c r="E1726" s="10" t="s">
        <v>1007</v>
      </c>
      <c r="F1726" s="10"/>
      <c r="G1726" s="28"/>
      <c r="H1726" s="28"/>
      <c r="I1726" s="29"/>
      <c r="J1726" s="7">
        <f t="shared" si="672"/>
        <v>0</v>
      </c>
      <c r="K1726" s="7">
        <f t="shared" si="672"/>
        <v>250</v>
      </c>
      <c r="L1726" s="7">
        <f t="shared" si="672"/>
        <v>250</v>
      </c>
      <c r="M1726" s="7">
        <f t="shared" si="672"/>
        <v>0</v>
      </c>
      <c r="N1726" s="7">
        <v>250</v>
      </c>
      <c r="O1726" s="7">
        <v>250</v>
      </c>
      <c r="P1726" s="349">
        <v>250</v>
      </c>
      <c r="Q1726" s="257">
        <v>100</v>
      </c>
    </row>
    <row r="1727" spans="1:17" s="30" customFormat="1">
      <c r="A1727" s="8" t="s">
        <v>362</v>
      </c>
      <c r="B1727" s="57">
        <v>919</v>
      </c>
      <c r="C1727" s="10" t="s">
        <v>34</v>
      </c>
      <c r="D1727" s="10" t="s">
        <v>16</v>
      </c>
      <c r="E1727" s="10" t="s">
        <v>1007</v>
      </c>
      <c r="F1727" s="10" t="s">
        <v>334</v>
      </c>
      <c r="G1727" s="28"/>
      <c r="H1727" s="28"/>
      <c r="I1727" s="29"/>
      <c r="J1727" s="7"/>
      <c r="K1727" s="7">
        <v>250</v>
      </c>
      <c r="L1727" s="7">
        <f>J1727+K1727</f>
        <v>250</v>
      </c>
      <c r="M1727" s="7"/>
      <c r="N1727" s="7">
        <v>250</v>
      </c>
      <c r="O1727" s="7">
        <v>250</v>
      </c>
      <c r="P1727" s="349">
        <v>250</v>
      </c>
      <c r="Q1727" s="257">
        <v>100</v>
      </c>
    </row>
    <row r="1728" spans="1:17" s="30" customFormat="1" ht="31.5">
      <c r="A1728" s="26" t="s">
        <v>303</v>
      </c>
      <c r="B1728" s="73">
        <v>919</v>
      </c>
      <c r="C1728" s="27" t="s">
        <v>34</v>
      </c>
      <c r="D1728" s="27" t="s">
        <v>28</v>
      </c>
      <c r="E1728" s="27"/>
      <c r="F1728" s="27"/>
      <c r="G1728" s="28">
        <v>1044.5999999999999</v>
      </c>
      <c r="H1728" s="28">
        <v>4323.2</v>
      </c>
      <c r="I1728" s="29" t="e">
        <f>#REF!+#REF!+I1729</f>
        <v>#REF!</v>
      </c>
      <c r="J1728" s="29" t="e">
        <f>#REF!+J1729</f>
        <v>#REF!</v>
      </c>
      <c r="K1728" s="29" t="e">
        <f>#REF!+K1729</f>
        <v>#REF!</v>
      </c>
      <c r="L1728" s="29" t="e">
        <f>#REF!+L1729</f>
        <v>#REF!</v>
      </c>
      <c r="M1728" s="29" t="e">
        <f>#REF!+M1729</f>
        <v>#REF!</v>
      </c>
      <c r="N1728" s="29">
        <v>4527.6000000000004</v>
      </c>
      <c r="O1728" s="29">
        <v>4527.6000000000004</v>
      </c>
      <c r="P1728" s="348">
        <v>4527.6000000000004</v>
      </c>
      <c r="Q1728" s="256">
        <v>100</v>
      </c>
    </row>
    <row r="1729" spans="1:17" s="12" customFormat="1">
      <c r="A1729" s="8" t="s">
        <v>363</v>
      </c>
      <c r="B1729" s="57">
        <v>919</v>
      </c>
      <c r="C1729" s="10" t="s">
        <v>34</v>
      </c>
      <c r="D1729" s="10" t="s">
        <v>28</v>
      </c>
      <c r="E1729" s="10" t="s">
        <v>364</v>
      </c>
      <c r="F1729" s="10"/>
      <c r="G1729" s="11">
        <v>3323.2</v>
      </c>
      <c r="H1729" s="31">
        <v>3323.2</v>
      </c>
      <c r="I1729" s="7">
        <f t="shared" ref="I1729:M1730" si="673">I1730</f>
        <v>0</v>
      </c>
      <c r="J1729" s="7">
        <f t="shared" ref="J1729:M1729" si="674">J1730+J1732</f>
        <v>3323.2</v>
      </c>
      <c r="K1729" s="7">
        <f t="shared" si="674"/>
        <v>1204.4000000000001</v>
      </c>
      <c r="L1729" s="7">
        <f t="shared" si="674"/>
        <v>4527.6000000000004</v>
      </c>
      <c r="M1729" s="7">
        <f t="shared" si="674"/>
        <v>0</v>
      </c>
      <c r="N1729" s="7">
        <v>4527.6000000000004</v>
      </c>
      <c r="O1729" s="7">
        <v>4527.6000000000004</v>
      </c>
      <c r="P1729" s="349">
        <v>4527.6000000000004</v>
      </c>
      <c r="Q1729" s="257">
        <v>100</v>
      </c>
    </row>
    <row r="1730" spans="1:17" s="12" customFormat="1" ht="78.75">
      <c r="A1730" s="8" t="s">
        <v>686</v>
      </c>
      <c r="B1730" s="57">
        <v>919</v>
      </c>
      <c r="C1730" s="10" t="s">
        <v>34</v>
      </c>
      <c r="D1730" s="10" t="s">
        <v>28</v>
      </c>
      <c r="E1730" s="10" t="s">
        <v>687</v>
      </c>
      <c r="F1730" s="10"/>
      <c r="G1730" s="11">
        <v>3323.2</v>
      </c>
      <c r="H1730" s="31">
        <v>3323.2</v>
      </c>
      <c r="I1730" s="7">
        <f t="shared" si="673"/>
        <v>0</v>
      </c>
      <c r="J1730" s="7">
        <f t="shared" si="673"/>
        <v>3323.2</v>
      </c>
      <c r="K1730" s="7">
        <f t="shared" si="673"/>
        <v>0</v>
      </c>
      <c r="L1730" s="7">
        <f t="shared" si="673"/>
        <v>3323.2</v>
      </c>
      <c r="M1730" s="7">
        <f t="shared" si="673"/>
        <v>0</v>
      </c>
      <c r="N1730" s="7">
        <v>3323.2</v>
      </c>
      <c r="O1730" s="7">
        <v>3323.2</v>
      </c>
      <c r="P1730" s="349">
        <v>3323.2</v>
      </c>
      <c r="Q1730" s="257">
        <v>100</v>
      </c>
    </row>
    <row r="1731" spans="1:17" s="12" customFormat="1" ht="47.25">
      <c r="A1731" s="8" t="s">
        <v>360</v>
      </c>
      <c r="B1731" s="57">
        <v>919</v>
      </c>
      <c r="C1731" s="10" t="s">
        <v>34</v>
      </c>
      <c r="D1731" s="10" t="s">
        <v>28</v>
      </c>
      <c r="E1731" s="10" t="s">
        <v>687</v>
      </c>
      <c r="F1731" s="10" t="s">
        <v>359</v>
      </c>
      <c r="G1731" s="11">
        <v>3323.2</v>
      </c>
      <c r="H1731" s="31">
        <v>3323.2</v>
      </c>
      <c r="I1731" s="7"/>
      <c r="J1731" s="7">
        <f>H1731+I1731</f>
        <v>3323.2</v>
      </c>
      <c r="K1731" s="7"/>
      <c r="L1731" s="7">
        <f>J1731+K1731</f>
        <v>3323.2</v>
      </c>
      <c r="M1731" s="7"/>
      <c r="N1731" s="7">
        <v>3323.2</v>
      </c>
      <c r="O1731" s="7">
        <v>3323.2</v>
      </c>
      <c r="P1731" s="349">
        <v>3323.2</v>
      </c>
      <c r="Q1731" s="257">
        <v>100</v>
      </c>
    </row>
    <row r="1732" spans="1:17" s="12" customFormat="1" ht="31.5">
      <c r="A1732" s="8" t="s">
        <v>1008</v>
      </c>
      <c r="B1732" s="57">
        <v>919</v>
      </c>
      <c r="C1732" s="10" t="s">
        <v>34</v>
      </c>
      <c r="D1732" s="10" t="s">
        <v>28</v>
      </c>
      <c r="E1732" s="10" t="s">
        <v>1007</v>
      </c>
      <c r="F1732" s="10"/>
      <c r="G1732" s="11"/>
      <c r="H1732" s="31"/>
      <c r="I1732" s="7"/>
      <c r="J1732" s="7">
        <f>J1735</f>
        <v>0</v>
      </c>
      <c r="K1732" s="7">
        <f>K1735</f>
        <v>1204.4000000000001</v>
      </c>
      <c r="L1732" s="7">
        <f>L1735+L1733+L1734</f>
        <v>1204.4000000000001</v>
      </c>
      <c r="M1732" s="7">
        <f>M1735+M1733+M1734</f>
        <v>0</v>
      </c>
      <c r="N1732" s="7">
        <v>1204.4000000000001</v>
      </c>
      <c r="O1732" s="7">
        <v>1204.4000000000001</v>
      </c>
      <c r="P1732" s="349">
        <v>1204.4000000000001</v>
      </c>
      <c r="Q1732" s="257">
        <v>100</v>
      </c>
    </row>
    <row r="1733" spans="1:17" s="12" customFormat="1">
      <c r="A1733" s="8" t="s">
        <v>356</v>
      </c>
      <c r="B1733" s="57">
        <v>919</v>
      </c>
      <c r="C1733" s="10" t="s">
        <v>34</v>
      </c>
      <c r="D1733" s="10" t="s">
        <v>28</v>
      </c>
      <c r="E1733" s="10" t="s">
        <v>1007</v>
      </c>
      <c r="F1733" s="10" t="s">
        <v>332</v>
      </c>
      <c r="G1733" s="11"/>
      <c r="H1733" s="31"/>
      <c r="I1733" s="7"/>
      <c r="J1733" s="7"/>
      <c r="K1733" s="7"/>
      <c r="L1733" s="7"/>
      <c r="M1733" s="7">
        <v>14.6</v>
      </c>
      <c r="N1733" s="7">
        <v>14.6</v>
      </c>
      <c r="O1733" s="7">
        <v>14.6</v>
      </c>
      <c r="P1733" s="349">
        <v>14.6</v>
      </c>
      <c r="Q1733" s="257">
        <v>100</v>
      </c>
    </row>
    <row r="1734" spans="1:17" s="12" customFormat="1" ht="31.5">
      <c r="A1734" s="8" t="s">
        <v>361</v>
      </c>
      <c r="B1734" s="57">
        <v>919</v>
      </c>
      <c r="C1734" s="10" t="s">
        <v>34</v>
      </c>
      <c r="D1734" s="10" t="s">
        <v>28</v>
      </c>
      <c r="E1734" s="10" t="s">
        <v>1007</v>
      </c>
      <c r="F1734" s="10" t="s">
        <v>333</v>
      </c>
      <c r="G1734" s="11"/>
      <c r="H1734" s="31"/>
      <c r="I1734" s="7"/>
      <c r="J1734" s="7"/>
      <c r="K1734" s="7"/>
      <c r="L1734" s="7"/>
      <c r="M1734" s="7">
        <v>34.5</v>
      </c>
      <c r="N1734" s="7">
        <v>34.5</v>
      </c>
      <c r="O1734" s="7">
        <v>34.5</v>
      </c>
      <c r="P1734" s="349">
        <v>34.5</v>
      </c>
      <c r="Q1734" s="257">
        <v>100</v>
      </c>
    </row>
    <row r="1735" spans="1:17" s="12" customFormat="1">
      <c r="A1735" s="8" t="s">
        <v>362</v>
      </c>
      <c r="B1735" s="57">
        <v>919</v>
      </c>
      <c r="C1735" s="10" t="s">
        <v>34</v>
      </c>
      <c r="D1735" s="10" t="s">
        <v>28</v>
      </c>
      <c r="E1735" s="10" t="s">
        <v>1007</v>
      </c>
      <c r="F1735" s="10" t="s">
        <v>334</v>
      </c>
      <c r="G1735" s="11"/>
      <c r="H1735" s="31"/>
      <c r="I1735" s="7"/>
      <c r="J1735" s="7"/>
      <c r="K1735" s="7">
        <v>1204.4000000000001</v>
      </c>
      <c r="L1735" s="7">
        <f>J1735+K1735</f>
        <v>1204.4000000000001</v>
      </c>
      <c r="M1735" s="7">
        <v>-49.1</v>
      </c>
      <c r="N1735" s="7">
        <v>1155.3</v>
      </c>
      <c r="O1735" s="7">
        <v>1155.3</v>
      </c>
      <c r="P1735" s="349">
        <v>1155.3</v>
      </c>
      <c r="Q1735" s="257">
        <v>100</v>
      </c>
    </row>
    <row r="1736" spans="1:17" s="30" customFormat="1">
      <c r="A1736" s="26" t="s">
        <v>304</v>
      </c>
      <c r="B1736" s="73">
        <v>919</v>
      </c>
      <c r="C1736" s="27" t="s">
        <v>34</v>
      </c>
      <c r="D1736" s="27" t="s">
        <v>31</v>
      </c>
      <c r="E1736" s="27"/>
      <c r="F1736" s="27"/>
      <c r="G1736" s="28">
        <v>992.5</v>
      </c>
      <c r="H1736" s="28">
        <v>10344.5</v>
      </c>
      <c r="I1736" s="29" t="e">
        <f>I1737+#REF!</f>
        <v>#REF!</v>
      </c>
      <c r="J1736" s="29" t="e">
        <f>J1737+#REF!</f>
        <v>#REF!</v>
      </c>
      <c r="K1736" s="29" t="e">
        <f>K1737+#REF!</f>
        <v>#REF!</v>
      </c>
      <c r="L1736" s="29" t="e">
        <f>L1737+#REF!</f>
        <v>#REF!</v>
      </c>
      <c r="M1736" s="29" t="e">
        <f>M1737+#REF!</f>
        <v>#REF!</v>
      </c>
      <c r="N1736" s="29">
        <v>10358.700000000001</v>
      </c>
      <c r="O1736" s="29">
        <v>10358.700000000001</v>
      </c>
      <c r="P1736" s="348">
        <v>10358.700000000001</v>
      </c>
      <c r="Q1736" s="256">
        <v>100</v>
      </c>
    </row>
    <row r="1737" spans="1:17" s="12" customFormat="1" ht="47.25">
      <c r="A1737" s="8" t="s">
        <v>65</v>
      </c>
      <c r="B1737" s="57">
        <v>919</v>
      </c>
      <c r="C1737" s="10" t="s">
        <v>34</v>
      </c>
      <c r="D1737" s="10" t="s">
        <v>31</v>
      </c>
      <c r="E1737" s="41" t="s">
        <v>41</v>
      </c>
      <c r="F1737" s="10"/>
      <c r="G1737" s="11">
        <v>692.5</v>
      </c>
      <c r="H1737" s="11">
        <v>10044.5</v>
      </c>
      <c r="I1737" s="7">
        <f t="shared" ref="I1737:M1737" si="675">I1738</f>
        <v>0</v>
      </c>
      <c r="J1737" s="7">
        <f t="shared" si="675"/>
        <v>10044.5</v>
      </c>
      <c r="K1737" s="7">
        <f t="shared" si="675"/>
        <v>284.2</v>
      </c>
      <c r="L1737" s="7">
        <f t="shared" si="675"/>
        <v>10328.700000000001</v>
      </c>
      <c r="M1737" s="7">
        <f t="shared" si="675"/>
        <v>30</v>
      </c>
      <c r="N1737" s="7">
        <v>10358.700000000001</v>
      </c>
      <c r="O1737" s="7">
        <v>10358.700000000001</v>
      </c>
      <c r="P1737" s="349">
        <v>10358.700000000001</v>
      </c>
      <c r="Q1737" s="257">
        <v>100</v>
      </c>
    </row>
    <row r="1738" spans="1:17" s="12" customFormat="1">
      <c r="A1738" s="8" t="s">
        <v>42</v>
      </c>
      <c r="B1738" s="57">
        <v>919</v>
      </c>
      <c r="C1738" s="10" t="s">
        <v>34</v>
      </c>
      <c r="D1738" s="10" t="s">
        <v>31</v>
      </c>
      <c r="E1738" s="41" t="s">
        <v>43</v>
      </c>
      <c r="F1738" s="10"/>
      <c r="G1738" s="11">
        <v>692.5</v>
      </c>
      <c r="H1738" s="11">
        <v>10044.5</v>
      </c>
      <c r="I1738" s="7">
        <f t="shared" ref="I1738:M1738" si="676">I1739+I1740+I1741+I1742+I1744+I1743</f>
        <v>0</v>
      </c>
      <c r="J1738" s="7">
        <f t="shared" si="676"/>
        <v>10044.5</v>
      </c>
      <c r="K1738" s="7">
        <f t="shared" si="676"/>
        <v>284.2</v>
      </c>
      <c r="L1738" s="7">
        <f t="shared" si="676"/>
        <v>10328.700000000001</v>
      </c>
      <c r="M1738" s="7">
        <f t="shared" si="676"/>
        <v>30</v>
      </c>
      <c r="N1738" s="7">
        <v>10358.700000000001</v>
      </c>
      <c r="O1738" s="7">
        <v>10358.700000000001</v>
      </c>
      <c r="P1738" s="349">
        <v>10358.700000000001</v>
      </c>
      <c r="Q1738" s="257">
        <v>100</v>
      </c>
    </row>
    <row r="1739" spans="1:17" s="12" customFormat="1">
      <c r="A1739" s="8" t="s">
        <v>337</v>
      </c>
      <c r="B1739" s="57">
        <v>919</v>
      </c>
      <c r="C1739" s="10" t="s">
        <v>34</v>
      </c>
      <c r="D1739" s="10" t="s">
        <v>31</v>
      </c>
      <c r="E1739" s="41" t="s">
        <v>43</v>
      </c>
      <c r="F1739" s="10" t="s">
        <v>331</v>
      </c>
      <c r="G1739" s="11">
        <v>785.5</v>
      </c>
      <c r="H1739" s="31">
        <v>8336.5</v>
      </c>
      <c r="I1739" s="7"/>
      <c r="J1739" s="7">
        <f t="shared" ref="J1739:J1744" si="677">H1739+I1739</f>
        <v>8336.5</v>
      </c>
      <c r="K1739" s="7">
        <v>284.2</v>
      </c>
      <c r="L1739" s="7">
        <f t="shared" ref="L1739:L1744" si="678">J1739+K1739</f>
        <v>8620.7000000000007</v>
      </c>
      <c r="M1739" s="7"/>
      <c r="N1739" s="7">
        <v>8620.7000000000007</v>
      </c>
      <c r="O1739" s="7">
        <v>8620.7000000000007</v>
      </c>
      <c r="P1739" s="349">
        <v>8620.7000000000007</v>
      </c>
      <c r="Q1739" s="257">
        <v>100</v>
      </c>
    </row>
    <row r="1740" spans="1:17" s="12" customFormat="1">
      <c r="A1740" s="8" t="s">
        <v>356</v>
      </c>
      <c r="B1740" s="57">
        <v>919</v>
      </c>
      <c r="C1740" s="10" t="s">
        <v>34</v>
      </c>
      <c r="D1740" s="10" t="s">
        <v>31</v>
      </c>
      <c r="E1740" s="41" t="s">
        <v>43</v>
      </c>
      <c r="F1740" s="10" t="s">
        <v>332</v>
      </c>
      <c r="G1740" s="11">
        <v>733.2</v>
      </c>
      <c r="H1740" s="31">
        <v>733.2</v>
      </c>
      <c r="I1740" s="7">
        <v>-270</v>
      </c>
      <c r="J1740" s="7">
        <f t="shared" si="677"/>
        <v>463.2</v>
      </c>
      <c r="K1740" s="7"/>
      <c r="L1740" s="7">
        <f t="shared" si="678"/>
        <v>463.2</v>
      </c>
      <c r="M1740" s="7">
        <f>28.5+30</f>
        <v>58.5</v>
      </c>
      <c r="N1740" s="7">
        <v>521.70000000000005</v>
      </c>
      <c r="O1740" s="7">
        <v>521.70000000000005</v>
      </c>
      <c r="P1740" s="349">
        <v>521.70000000000005</v>
      </c>
      <c r="Q1740" s="257">
        <v>100</v>
      </c>
    </row>
    <row r="1741" spans="1:17" s="12" customFormat="1" ht="31.5">
      <c r="A1741" s="8" t="s">
        <v>361</v>
      </c>
      <c r="B1741" s="57">
        <v>919</v>
      </c>
      <c r="C1741" s="10" t="s">
        <v>34</v>
      </c>
      <c r="D1741" s="10" t="s">
        <v>31</v>
      </c>
      <c r="E1741" s="41" t="s">
        <v>43</v>
      </c>
      <c r="F1741" s="10" t="s">
        <v>333</v>
      </c>
      <c r="G1741" s="11">
        <v>208.3</v>
      </c>
      <c r="H1741" s="31">
        <v>268.3</v>
      </c>
      <c r="I1741" s="7">
        <v>400</v>
      </c>
      <c r="J1741" s="7">
        <f t="shared" si="677"/>
        <v>668.3</v>
      </c>
      <c r="K1741" s="7">
        <f>-50-30</f>
        <v>-80</v>
      </c>
      <c r="L1741" s="7">
        <f t="shared" si="678"/>
        <v>588.29999999999995</v>
      </c>
      <c r="M1741" s="7"/>
      <c r="N1741" s="7">
        <v>588.29999999999995</v>
      </c>
      <c r="O1741" s="7">
        <v>588.29999999999995</v>
      </c>
      <c r="P1741" s="349">
        <v>588.29999999999995</v>
      </c>
      <c r="Q1741" s="257">
        <v>100</v>
      </c>
    </row>
    <row r="1742" spans="1:17" s="12" customFormat="1">
      <c r="A1742" s="8" t="s">
        <v>362</v>
      </c>
      <c r="B1742" s="57">
        <v>919</v>
      </c>
      <c r="C1742" s="10" t="s">
        <v>34</v>
      </c>
      <c r="D1742" s="10" t="s">
        <v>31</v>
      </c>
      <c r="E1742" s="41" t="s">
        <v>43</v>
      </c>
      <c r="F1742" s="10" t="s">
        <v>334</v>
      </c>
      <c r="G1742" s="11">
        <v>-1030.5</v>
      </c>
      <c r="H1742" s="31">
        <v>702.5</v>
      </c>
      <c r="I1742" s="7">
        <f>-14-130</f>
        <v>-144</v>
      </c>
      <c r="J1742" s="7">
        <f t="shared" si="677"/>
        <v>558.5</v>
      </c>
      <c r="K1742" s="7">
        <f>50+30</f>
        <v>80</v>
      </c>
      <c r="L1742" s="7">
        <f t="shared" si="678"/>
        <v>638.5</v>
      </c>
      <c r="M1742" s="7">
        <v>-28.5</v>
      </c>
      <c r="N1742" s="7">
        <v>610</v>
      </c>
      <c r="O1742" s="7">
        <v>610</v>
      </c>
      <c r="P1742" s="349">
        <v>610</v>
      </c>
      <c r="Q1742" s="257">
        <v>100</v>
      </c>
    </row>
    <row r="1743" spans="1:17" s="12" customFormat="1" ht="78.75">
      <c r="A1743" s="8" t="s">
        <v>428</v>
      </c>
      <c r="B1743" s="57">
        <v>919</v>
      </c>
      <c r="C1743" s="10" t="s">
        <v>34</v>
      </c>
      <c r="D1743" s="10" t="s">
        <v>31</v>
      </c>
      <c r="E1743" s="41" t="s">
        <v>43</v>
      </c>
      <c r="F1743" s="10" t="s">
        <v>427</v>
      </c>
      <c r="G1743" s="11"/>
      <c r="H1743" s="31"/>
      <c r="I1743" s="7">
        <v>14</v>
      </c>
      <c r="J1743" s="7">
        <f t="shared" si="677"/>
        <v>14</v>
      </c>
      <c r="K1743" s="7"/>
      <c r="L1743" s="7">
        <f t="shared" si="678"/>
        <v>14</v>
      </c>
      <c r="M1743" s="7"/>
      <c r="N1743" s="7">
        <v>14</v>
      </c>
      <c r="O1743" s="7">
        <v>14</v>
      </c>
      <c r="P1743" s="349">
        <v>14</v>
      </c>
      <c r="Q1743" s="257">
        <v>100</v>
      </c>
    </row>
    <row r="1744" spans="1:17" s="12" customFormat="1">
      <c r="A1744" s="8" t="s">
        <v>380</v>
      </c>
      <c r="B1744" s="57">
        <v>919</v>
      </c>
      <c r="C1744" s="10" t="s">
        <v>34</v>
      </c>
      <c r="D1744" s="10" t="s">
        <v>31</v>
      </c>
      <c r="E1744" s="41" t="s">
        <v>43</v>
      </c>
      <c r="F1744" s="10" t="s">
        <v>336</v>
      </c>
      <c r="G1744" s="11">
        <v>-4</v>
      </c>
      <c r="H1744" s="31">
        <v>4</v>
      </c>
      <c r="I1744" s="7"/>
      <c r="J1744" s="7">
        <f t="shared" si="677"/>
        <v>4</v>
      </c>
      <c r="K1744" s="7"/>
      <c r="L1744" s="7">
        <f t="shared" si="678"/>
        <v>4</v>
      </c>
      <c r="M1744" s="7"/>
      <c r="N1744" s="7">
        <v>4</v>
      </c>
      <c r="O1744" s="7">
        <v>4</v>
      </c>
      <c r="P1744" s="349">
        <v>4</v>
      </c>
      <c r="Q1744" s="257">
        <v>100</v>
      </c>
    </row>
    <row r="1745" spans="1:17" s="30" customFormat="1">
      <c r="A1745" s="26" t="s">
        <v>49</v>
      </c>
      <c r="B1745" s="73">
        <v>919</v>
      </c>
      <c r="C1745" s="27"/>
      <c r="D1745" s="27"/>
      <c r="E1745" s="78"/>
      <c r="F1745" s="27"/>
      <c r="G1745" s="28">
        <v>7452.2</v>
      </c>
      <c r="H1745" s="28">
        <v>8802.2000000000007</v>
      </c>
      <c r="I1745" s="29">
        <f t="shared" ref="I1745:M1746" si="679">I1746</f>
        <v>0</v>
      </c>
      <c r="J1745" s="29">
        <f t="shared" si="679"/>
        <v>8802.2000000000007</v>
      </c>
      <c r="K1745" s="29">
        <f t="shared" si="679"/>
        <v>23733.200000000001</v>
      </c>
      <c r="L1745" s="29">
        <f t="shared" si="679"/>
        <v>32535.4</v>
      </c>
      <c r="M1745" s="29">
        <f t="shared" si="679"/>
        <v>48760</v>
      </c>
      <c r="N1745" s="29">
        <v>81295.399999999994</v>
      </c>
      <c r="O1745" s="29">
        <v>81295.399999999994</v>
      </c>
      <c r="P1745" s="348">
        <v>81295.399999999994</v>
      </c>
      <c r="Q1745" s="256">
        <v>100</v>
      </c>
    </row>
    <row r="1746" spans="1:17" s="30" customFormat="1">
      <c r="A1746" s="26" t="s">
        <v>100</v>
      </c>
      <c r="B1746" s="73">
        <v>919</v>
      </c>
      <c r="C1746" s="27" t="s">
        <v>11</v>
      </c>
      <c r="D1746" s="27"/>
      <c r="E1746" s="78"/>
      <c r="F1746" s="27"/>
      <c r="G1746" s="28">
        <v>7452.2</v>
      </c>
      <c r="H1746" s="28">
        <v>8802.2000000000007</v>
      </c>
      <c r="I1746" s="29">
        <f t="shared" si="679"/>
        <v>0</v>
      </c>
      <c r="J1746" s="29">
        <f t="shared" si="679"/>
        <v>8802.2000000000007</v>
      </c>
      <c r="K1746" s="29">
        <f t="shared" si="679"/>
        <v>23733.200000000001</v>
      </c>
      <c r="L1746" s="29">
        <f t="shared" si="679"/>
        <v>32535.4</v>
      </c>
      <c r="M1746" s="29">
        <f t="shared" si="679"/>
        <v>48760</v>
      </c>
      <c r="N1746" s="29">
        <v>81295.399999999994</v>
      </c>
      <c r="O1746" s="29">
        <v>81295.399999999994</v>
      </c>
      <c r="P1746" s="348">
        <v>81295.399999999994</v>
      </c>
      <c r="Q1746" s="256">
        <v>100</v>
      </c>
    </row>
    <row r="1747" spans="1:17" s="30" customFormat="1">
      <c r="A1747" s="26" t="s">
        <v>292</v>
      </c>
      <c r="B1747" s="73">
        <v>919</v>
      </c>
      <c r="C1747" s="27" t="s">
        <v>11</v>
      </c>
      <c r="D1747" s="27" t="s">
        <v>34</v>
      </c>
      <c r="E1747" s="78"/>
      <c r="F1747" s="27"/>
      <c r="G1747" s="28">
        <v>7452.2</v>
      </c>
      <c r="H1747" s="28">
        <v>8802.2000000000007</v>
      </c>
      <c r="I1747" s="29">
        <f>I1752</f>
        <v>0</v>
      </c>
      <c r="J1747" s="29">
        <f t="shared" ref="J1747:M1747" si="680">J1752+J1748</f>
        <v>8802.2000000000007</v>
      </c>
      <c r="K1747" s="29">
        <f t="shared" si="680"/>
        <v>23733.200000000001</v>
      </c>
      <c r="L1747" s="29">
        <f t="shared" si="680"/>
        <v>32535.4</v>
      </c>
      <c r="M1747" s="29">
        <f t="shared" si="680"/>
        <v>48760</v>
      </c>
      <c r="N1747" s="29">
        <v>81295.399999999994</v>
      </c>
      <c r="O1747" s="29">
        <v>81295.399999999994</v>
      </c>
      <c r="P1747" s="348">
        <v>81295.399999999994</v>
      </c>
      <c r="Q1747" s="256">
        <v>100</v>
      </c>
    </row>
    <row r="1748" spans="1:17" s="30" customFormat="1" ht="31.5">
      <c r="A1748" s="33" t="s">
        <v>946</v>
      </c>
      <c r="B1748" s="57">
        <v>919</v>
      </c>
      <c r="C1748" s="10" t="s">
        <v>11</v>
      </c>
      <c r="D1748" s="10" t="s">
        <v>34</v>
      </c>
      <c r="E1748" s="41" t="s">
        <v>945</v>
      </c>
      <c r="F1748" s="10"/>
      <c r="G1748" s="11"/>
      <c r="H1748" s="11"/>
      <c r="I1748" s="7"/>
      <c r="J1748" s="7">
        <f t="shared" ref="J1748:M1749" si="681">J1749</f>
        <v>0</v>
      </c>
      <c r="K1748" s="7">
        <f t="shared" si="681"/>
        <v>23733.200000000001</v>
      </c>
      <c r="L1748" s="7">
        <f t="shared" si="681"/>
        <v>23733.200000000001</v>
      </c>
      <c r="M1748" s="7">
        <f t="shared" si="681"/>
        <v>48760</v>
      </c>
      <c r="N1748" s="7">
        <v>72493.2</v>
      </c>
      <c r="O1748" s="7">
        <v>72493.2</v>
      </c>
      <c r="P1748" s="349">
        <v>72493.2</v>
      </c>
      <c r="Q1748" s="257">
        <v>100</v>
      </c>
    </row>
    <row r="1749" spans="1:17" s="30" customFormat="1" ht="47.25">
      <c r="A1749" s="33" t="s">
        <v>944</v>
      </c>
      <c r="B1749" s="57">
        <v>919</v>
      </c>
      <c r="C1749" s="10" t="s">
        <v>11</v>
      </c>
      <c r="D1749" s="10" t="s">
        <v>34</v>
      </c>
      <c r="E1749" s="41" t="s">
        <v>943</v>
      </c>
      <c r="F1749" s="10"/>
      <c r="G1749" s="11"/>
      <c r="H1749" s="11"/>
      <c r="I1749" s="7"/>
      <c r="J1749" s="7">
        <f t="shared" si="681"/>
        <v>0</v>
      </c>
      <c r="K1749" s="7">
        <f t="shared" si="681"/>
        <v>23733.200000000001</v>
      </c>
      <c r="L1749" s="7">
        <f>L1750+L1751</f>
        <v>23733.200000000001</v>
      </c>
      <c r="M1749" s="7">
        <f>M1750+M1751</f>
        <v>48760</v>
      </c>
      <c r="N1749" s="7">
        <v>72493.2</v>
      </c>
      <c r="O1749" s="7">
        <v>72493.2</v>
      </c>
      <c r="P1749" s="349">
        <v>72493.2</v>
      </c>
      <c r="Q1749" s="257">
        <v>100</v>
      </c>
    </row>
    <row r="1750" spans="1:17" s="12" customFormat="1" ht="47.25">
      <c r="A1750" s="8" t="s">
        <v>438</v>
      </c>
      <c r="B1750" s="57">
        <v>919</v>
      </c>
      <c r="C1750" s="10" t="s">
        <v>11</v>
      </c>
      <c r="D1750" s="10" t="s">
        <v>34</v>
      </c>
      <c r="E1750" s="41" t="s">
        <v>943</v>
      </c>
      <c r="F1750" s="10" t="s">
        <v>385</v>
      </c>
      <c r="G1750" s="11"/>
      <c r="H1750" s="11"/>
      <c r="I1750" s="7"/>
      <c r="J1750" s="7"/>
      <c r="K1750" s="7">
        <v>23733.200000000001</v>
      </c>
      <c r="L1750" s="7">
        <f>J1750+K1750</f>
        <v>23733.200000000001</v>
      </c>
      <c r="M1750" s="7"/>
      <c r="N1750" s="7">
        <v>23733.200000000001</v>
      </c>
      <c r="O1750" s="7">
        <v>23733.200000000001</v>
      </c>
      <c r="P1750" s="349">
        <v>23733.200000000001</v>
      </c>
      <c r="Q1750" s="257">
        <v>100</v>
      </c>
    </row>
    <row r="1751" spans="1:17" s="12" customFormat="1" ht="31.5">
      <c r="A1751" s="8" t="s">
        <v>465</v>
      </c>
      <c r="B1751" s="57">
        <v>919</v>
      </c>
      <c r="C1751" s="10" t="s">
        <v>11</v>
      </c>
      <c r="D1751" s="10" t="s">
        <v>34</v>
      </c>
      <c r="E1751" s="41" t="s">
        <v>943</v>
      </c>
      <c r="F1751" s="10" t="s">
        <v>475</v>
      </c>
      <c r="G1751" s="11"/>
      <c r="H1751" s="11"/>
      <c r="I1751" s="7"/>
      <c r="J1751" s="7"/>
      <c r="K1751" s="7"/>
      <c r="L1751" s="7"/>
      <c r="M1751" s="7">
        <v>48760</v>
      </c>
      <c r="N1751" s="7">
        <v>48760</v>
      </c>
      <c r="O1751" s="7">
        <v>48760</v>
      </c>
      <c r="P1751" s="349">
        <v>48760</v>
      </c>
      <c r="Q1751" s="257">
        <v>100</v>
      </c>
    </row>
    <row r="1752" spans="1:17" s="12" customFormat="1">
      <c r="A1752" s="8" t="s">
        <v>17</v>
      </c>
      <c r="B1752" s="57">
        <v>919</v>
      </c>
      <c r="C1752" s="10" t="s">
        <v>11</v>
      </c>
      <c r="D1752" s="10" t="s">
        <v>34</v>
      </c>
      <c r="E1752" s="10" t="s">
        <v>18</v>
      </c>
      <c r="F1752" s="10"/>
      <c r="G1752" s="11">
        <v>7452.2</v>
      </c>
      <c r="H1752" s="11">
        <v>8802.2000000000007</v>
      </c>
      <c r="I1752" s="7">
        <f t="shared" ref="I1752:M1752" si="682">I1753</f>
        <v>0</v>
      </c>
      <c r="J1752" s="7">
        <f t="shared" si="682"/>
        <v>8802.2000000000007</v>
      </c>
      <c r="K1752" s="7">
        <f t="shared" si="682"/>
        <v>0</v>
      </c>
      <c r="L1752" s="7">
        <f t="shared" si="682"/>
        <v>8802.2000000000007</v>
      </c>
      <c r="M1752" s="7">
        <f t="shared" si="682"/>
        <v>0</v>
      </c>
      <c r="N1752" s="7">
        <v>8802.2000000000007</v>
      </c>
      <c r="O1752" s="7">
        <v>8802.2000000000007</v>
      </c>
      <c r="P1752" s="349">
        <v>8802.2000000000007</v>
      </c>
      <c r="Q1752" s="257">
        <v>100</v>
      </c>
    </row>
    <row r="1753" spans="1:17" s="12" customFormat="1" ht="31.5">
      <c r="A1753" s="8" t="s">
        <v>681</v>
      </c>
      <c r="B1753" s="57">
        <v>919</v>
      </c>
      <c r="C1753" s="10" t="s">
        <v>11</v>
      </c>
      <c r="D1753" s="10" t="s">
        <v>34</v>
      </c>
      <c r="E1753" s="10" t="s">
        <v>35</v>
      </c>
      <c r="F1753" s="10"/>
      <c r="G1753" s="11">
        <v>7452.2</v>
      </c>
      <c r="H1753" s="11">
        <v>8802.2000000000007</v>
      </c>
      <c r="I1753" s="7">
        <f t="shared" ref="I1753:M1753" si="683">I1754+I1755</f>
        <v>0</v>
      </c>
      <c r="J1753" s="7">
        <f t="shared" si="683"/>
        <v>8802.2000000000007</v>
      </c>
      <c r="K1753" s="7">
        <f t="shared" si="683"/>
        <v>0</v>
      </c>
      <c r="L1753" s="7">
        <f t="shared" si="683"/>
        <v>8802.2000000000007</v>
      </c>
      <c r="M1753" s="7">
        <f t="shared" si="683"/>
        <v>0</v>
      </c>
      <c r="N1753" s="7">
        <v>8802.2000000000007</v>
      </c>
      <c r="O1753" s="7">
        <v>8802.2000000000007</v>
      </c>
      <c r="P1753" s="349">
        <v>8802.2000000000007</v>
      </c>
      <c r="Q1753" s="257">
        <v>100</v>
      </c>
    </row>
    <row r="1754" spans="1:17" s="12" customFormat="1" ht="47.25">
      <c r="A1754" s="8" t="s">
        <v>438</v>
      </c>
      <c r="B1754" s="57">
        <v>919</v>
      </c>
      <c r="C1754" s="10" t="s">
        <v>11</v>
      </c>
      <c r="D1754" s="10" t="s">
        <v>34</v>
      </c>
      <c r="E1754" s="10" t="s">
        <v>35</v>
      </c>
      <c r="F1754" s="10" t="s">
        <v>385</v>
      </c>
      <c r="G1754" s="11">
        <v>3652.2</v>
      </c>
      <c r="H1754" s="31">
        <v>5002.2</v>
      </c>
      <c r="I1754" s="7"/>
      <c r="J1754" s="7">
        <f>H1754+I1754</f>
        <v>5002.2</v>
      </c>
      <c r="K1754" s="7"/>
      <c r="L1754" s="7">
        <f>J1754+K1754</f>
        <v>5002.2</v>
      </c>
      <c r="M1754" s="7"/>
      <c r="N1754" s="7">
        <v>5002.2</v>
      </c>
      <c r="O1754" s="7">
        <v>5002.2</v>
      </c>
      <c r="P1754" s="349">
        <v>5002.2</v>
      </c>
      <c r="Q1754" s="257">
        <v>100</v>
      </c>
    </row>
    <row r="1755" spans="1:17" s="12" customFormat="1" ht="31.5">
      <c r="A1755" s="8" t="s">
        <v>465</v>
      </c>
      <c r="B1755" s="57">
        <v>919</v>
      </c>
      <c r="C1755" s="10" t="s">
        <v>11</v>
      </c>
      <c r="D1755" s="10" t="s">
        <v>34</v>
      </c>
      <c r="E1755" s="10" t="s">
        <v>35</v>
      </c>
      <c r="F1755" s="10" t="s">
        <v>475</v>
      </c>
      <c r="G1755" s="11">
        <v>3800</v>
      </c>
      <c r="H1755" s="31">
        <v>3800</v>
      </c>
      <c r="I1755" s="7"/>
      <c r="J1755" s="7">
        <f>H1755+I1755</f>
        <v>3800</v>
      </c>
      <c r="K1755" s="7"/>
      <c r="L1755" s="7">
        <f>J1755+K1755</f>
        <v>3800</v>
      </c>
      <c r="M1755" s="7"/>
      <c r="N1755" s="7">
        <v>3800</v>
      </c>
      <c r="O1755" s="7">
        <v>3800</v>
      </c>
      <c r="P1755" s="349">
        <v>3800</v>
      </c>
      <c r="Q1755" s="257">
        <v>100</v>
      </c>
    </row>
    <row r="1756" spans="1:17" s="30" customFormat="1">
      <c r="A1756" s="410" t="s">
        <v>305</v>
      </c>
      <c r="B1756" s="411"/>
      <c r="C1756" s="411"/>
      <c r="D1756" s="411"/>
      <c r="E1756" s="411"/>
      <c r="F1756" s="411"/>
      <c r="G1756" s="28">
        <v>835</v>
      </c>
      <c r="H1756" s="28">
        <v>4821.5</v>
      </c>
      <c r="I1756" s="29">
        <f t="shared" ref="I1756:M1756" si="684">I1757+I1770</f>
        <v>0</v>
      </c>
      <c r="J1756" s="29">
        <f t="shared" si="684"/>
        <v>4821.5</v>
      </c>
      <c r="K1756" s="29">
        <f t="shared" si="684"/>
        <v>329.7</v>
      </c>
      <c r="L1756" s="29">
        <f t="shared" si="684"/>
        <v>5151.2</v>
      </c>
      <c r="M1756" s="29">
        <f t="shared" si="684"/>
        <v>0</v>
      </c>
      <c r="N1756" s="29">
        <v>5151.2</v>
      </c>
      <c r="O1756" s="29">
        <v>5151.2</v>
      </c>
      <c r="P1756" s="348">
        <v>5123.5</v>
      </c>
      <c r="Q1756" s="256">
        <v>99.46</v>
      </c>
    </row>
    <row r="1757" spans="1:17" s="30" customFormat="1">
      <c r="A1757" s="26" t="s">
        <v>100</v>
      </c>
      <c r="B1757" s="27" t="s">
        <v>516</v>
      </c>
      <c r="C1757" s="27" t="s">
        <v>11</v>
      </c>
      <c r="D1757" s="27"/>
      <c r="E1757" s="27"/>
      <c r="F1757" s="27"/>
      <c r="G1757" s="28">
        <v>749</v>
      </c>
      <c r="H1757" s="28">
        <v>4735.5</v>
      </c>
      <c r="I1757" s="29">
        <f t="shared" ref="I1757:M1757" si="685">I1758</f>
        <v>11.5</v>
      </c>
      <c r="J1757" s="29">
        <f t="shared" si="685"/>
        <v>4747</v>
      </c>
      <c r="K1757" s="29">
        <f t="shared" si="685"/>
        <v>329.7</v>
      </c>
      <c r="L1757" s="29">
        <f t="shared" si="685"/>
        <v>5076.7</v>
      </c>
      <c r="M1757" s="29">
        <f t="shared" si="685"/>
        <v>0</v>
      </c>
      <c r="N1757" s="29">
        <v>5076.7</v>
      </c>
      <c r="O1757" s="29">
        <v>5076.7</v>
      </c>
      <c r="P1757" s="348">
        <v>5049</v>
      </c>
      <c r="Q1757" s="256">
        <v>99.45</v>
      </c>
    </row>
    <row r="1758" spans="1:17" s="30" customFormat="1">
      <c r="A1758" s="26" t="s">
        <v>306</v>
      </c>
      <c r="B1758" s="27" t="s">
        <v>516</v>
      </c>
      <c r="C1758" s="27" t="s">
        <v>11</v>
      </c>
      <c r="D1758" s="27" t="s">
        <v>56</v>
      </c>
      <c r="E1758" s="27"/>
      <c r="F1758" s="27"/>
      <c r="G1758" s="28">
        <v>749</v>
      </c>
      <c r="H1758" s="28">
        <v>4735.5</v>
      </c>
      <c r="I1758" s="29">
        <f t="shared" ref="I1758:M1758" si="686">I1759+I1767</f>
        <v>11.5</v>
      </c>
      <c r="J1758" s="29">
        <f t="shared" si="686"/>
        <v>4747</v>
      </c>
      <c r="K1758" s="29">
        <f t="shared" si="686"/>
        <v>329.7</v>
      </c>
      <c r="L1758" s="29">
        <f t="shared" si="686"/>
        <v>5076.7</v>
      </c>
      <c r="M1758" s="29">
        <f t="shared" si="686"/>
        <v>0</v>
      </c>
      <c r="N1758" s="29">
        <v>5076.7</v>
      </c>
      <c r="O1758" s="29">
        <v>5076.7</v>
      </c>
      <c r="P1758" s="348">
        <v>5049</v>
      </c>
      <c r="Q1758" s="256">
        <v>99.45</v>
      </c>
    </row>
    <row r="1759" spans="1:17" s="12" customFormat="1" ht="47.25">
      <c r="A1759" s="8" t="s">
        <v>65</v>
      </c>
      <c r="B1759" s="10" t="s">
        <v>516</v>
      </c>
      <c r="C1759" s="10" t="s">
        <v>11</v>
      </c>
      <c r="D1759" s="10" t="s">
        <v>56</v>
      </c>
      <c r="E1759" s="41" t="s">
        <v>41</v>
      </c>
      <c r="F1759" s="10"/>
      <c r="G1759" s="11">
        <v>620</v>
      </c>
      <c r="H1759" s="11">
        <v>4606.5</v>
      </c>
      <c r="I1759" s="7">
        <f t="shared" ref="I1759:M1759" si="687">I1760</f>
        <v>11.4</v>
      </c>
      <c r="J1759" s="7">
        <f t="shared" si="687"/>
        <v>4617.8999999999996</v>
      </c>
      <c r="K1759" s="7">
        <f t="shared" si="687"/>
        <v>329.7</v>
      </c>
      <c r="L1759" s="7">
        <f t="shared" si="687"/>
        <v>4947.6000000000004</v>
      </c>
      <c r="M1759" s="7">
        <f t="shared" si="687"/>
        <v>0</v>
      </c>
      <c r="N1759" s="7">
        <v>4947.6000000000004</v>
      </c>
      <c r="O1759" s="7">
        <v>4947.6000000000004</v>
      </c>
      <c r="P1759" s="349">
        <v>4919.8999999999996</v>
      </c>
      <c r="Q1759" s="257">
        <v>99.44</v>
      </c>
    </row>
    <row r="1760" spans="1:17" s="12" customFormat="1">
      <c r="A1760" s="8" t="s">
        <v>42</v>
      </c>
      <c r="B1760" s="10" t="s">
        <v>516</v>
      </c>
      <c r="C1760" s="10" t="s">
        <v>11</v>
      </c>
      <c r="D1760" s="10" t="s">
        <v>56</v>
      </c>
      <c r="E1760" s="41" t="s">
        <v>43</v>
      </c>
      <c r="F1760" s="10"/>
      <c r="G1760" s="11">
        <v>620</v>
      </c>
      <c r="H1760" s="11">
        <v>4606.5</v>
      </c>
      <c r="I1760" s="7">
        <f t="shared" ref="I1760:M1760" si="688">I1761+I1762+I1763+I1764+I1765+I1766</f>
        <v>11.4</v>
      </c>
      <c r="J1760" s="7">
        <f t="shared" si="688"/>
        <v>4617.8999999999996</v>
      </c>
      <c r="K1760" s="7">
        <f t="shared" si="688"/>
        <v>329.7</v>
      </c>
      <c r="L1760" s="7">
        <f t="shared" si="688"/>
        <v>4947.6000000000004</v>
      </c>
      <c r="M1760" s="7">
        <f t="shared" si="688"/>
        <v>0</v>
      </c>
      <c r="N1760" s="7">
        <v>4947.6000000000004</v>
      </c>
      <c r="O1760" s="7">
        <v>4947.6000000000004</v>
      </c>
      <c r="P1760" s="349">
        <v>4919.8999999999996</v>
      </c>
      <c r="Q1760" s="257">
        <v>99.44</v>
      </c>
    </row>
    <row r="1761" spans="1:17" s="12" customFormat="1">
      <c r="A1761" s="8" t="s">
        <v>337</v>
      </c>
      <c r="B1761" s="10" t="s">
        <v>516</v>
      </c>
      <c r="C1761" s="10" t="s">
        <v>11</v>
      </c>
      <c r="D1761" s="10" t="s">
        <v>56</v>
      </c>
      <c r="E1761" s="41" t="s">
        <v>43</v>
      </c>
      <c r="F1761" s="10" t="s">
        <v>331</v>
      </c>
      <c r="G1761" s="11">
        <v>523</v>
      </c>
      <c r="H1761" s="31">
        <v>3707</v>
      </c>
      <c r="I1761" s="7"/>
      <c r="J1761" s="7">
        <f t="shared" ref="J1761:J1766" si="689">H1761+I1761</f>
        <v>3707</v>
      </c>
      <c r="K1761" s="7">
        <v>329.7</v>
      </c>
      <c r="L1761" s="7">
        <f t="shared" ref="L1761:L1766" si="690">J1761+K1761</f>
        <v>4036.7</v>
      </c>
      <c r="M1761" s="7">
        <v>-50</v>
      </c>
      <c r="N1761" s="7">
        <v>3986.7</v>
      </c>
      <c r="O1761" s="7">
        <v>3986.7</v>
      </c>
      <c r="P1761" s="349">
        <v>3959</v>
      </c>
      <c r="Q1761" s="257">
        <v>99.31</v>
      </c>
    </row>
    <row r="1762" spans="1:17" s="12" customFormat="1">
      <c r="A1762" s="8" t="s">
        <v>356</v>
      </c>
      <c r="B1762" s="10" t="s">
        <v>516</v>
      </c>
      <c r="C1762" s="10" t="s">
        <v>11</v>
      </c>
      <c r="D1762" s="10" t="s">
        <v>56</v>
      </c>
      <c r="E1762" s="41" t="s">
        <v>43</v>
      </c>
      <c r="F1762" s="10" t="s">
        <v>332</v>
      </c>
      <c r="G1762" s="11">
        <v>-10</v>
      </c>
      <c r="H1762" s="31">
        <v>20</v>
      </c>
      <c r="I1762" s="7">
        <v>34.6</v>
      </c>
      <c r="J1762" s="7">
        <f t="shared" si="689"/>
        <v>54.6</v>
      </c>
      <c r="K1762" s="7"/>
      <c r="L1762" s="7">
        <f t="shared" si="690"/>
        <v>54.6</v>
      </c>
      <c r="M1762" s="7"/>
      <c r="N1762" s="7">
        <v>54.6</v>
      </c>
      <c r="O1762" s="7">
        <v>54.6</v>
      </c>
      <c r="P1762" s="349">
        <v>54.6</v>
      </c>
      <c r="Q1762" s="257">
        <v>100</v>
      </c>
    </row>
    <row r="1763" spans="1:17" s="12" customFormat="1" ht="31.5">
      <c r="A1763" s="8" t="s">
        <v>361</v>
      </c>
      <c r="B1763" s="10" t="s">
        <v>516</v>
      </c>
      <c r="C1763" s="10" t="s">
        <v>11</v>
      </c>
      <c r="D1763" s="10" t="s">
        <v>56</v>
      </c>
      <c r="E1763" s="41" t="s">
        <v>43</v>
      </c>
      <c r="F1763" s="10" t="s">
        <v>333</v>
      </c>
      <c r="G1763" s="11">
        <v>-21</v>
      </c>
      <c r="H1763" s="31">
        <v>251</v>
      </c>
      <c r="I1763" s="7"/>
      <c r="J1763" s="7">
        <f t="shared" si="689"/>
        <v>251</v>
      </c>
      <c r="K1763" s="7">
        <v>6</v>
      </c>
      <c r="L1763" s="7">
        <f t="shared" si="690"/>
        <v>257</v>
      </c>
      <c r="M1763" s="7"/>
      <c r="N1763" s="7">
        <v>257</v>
      </c>
      <c r="O1763" s="7">
        <v>257</v>
      </c>
      <c r="P1763" s="349">
        <v>257</v>
      </c>
      <c r="Q1763" s="257">
        <v>100</v>
      </c>
    </row>
    <row r="1764" spans="1:17" s="12" customFormat="1">
      <c r="A1764" s="8" t="s">
        <v>362</v>
      </c>
      <c r="B1764" s="10" t="s">
        <v>516</v>
      </c>
      <c r="C1764" s="10" t="s">
        <v>11</v>
      </c>
      <c r="D1764" s="10" t="s">
        <v>56</v>
      </c>
      <c r="E1764" s="41" t="s">
        <v>43</v>
      </c>
      <c r="F1764" s="10" t="s">
        <v>334</v>
      </c>
      <c r="G1764" s="11">
        <v>141</v>
      </c>
      <c r="H1764" s="31">
        <v>610</v>
      </c>
      <c r="I1764" s="7">
        <v>-23.2</v>
      </c>
      <c r="J1764" s="7">
        <f t="shared" si="689"/>
        <v>586.79999999999995</v>
      </c>
      <c r="K1764" s="7">
        <v>-6</v>
      </c>
      <c r="L1764" s="7">
        <f t="shared" si="690"/>
        <v>580.79999999999995</v>
      </c>
      <c r="M1764" s="7">
        <v>50</v>
      </c>
      <c r="N1764" s="7">
        <v>630.79999999999995</v>
      </c>
      <c r="O1764" s="7">
        <v>630.79999999999995</v>
      </c>
      <c r="P1764" s="349">
        <v>630.79999999999995</v>
      </c>
      <c r="Q1764" s="257">
        <v>100</v>
      </c>
    </row>
    <row r="1765" spans="1:17" s="12" customFormat="1">
      <c r="A1765" s="8" t="s">
        <v>384</v>
      </c>
      <c r="B1765" s="10" t="s">
        <v>516</v>
      </c>
      <c r="C1765" s="10" t="s">
        <v>11</v>
      </c>
      <c r="D1765" s="10" t="s">
        <v>56</v>
      </c>
      <c r="E1765" s="41" t="s">
        <v>43</v>
      </c>
      <c r="F1765" s="10" t="s">
        <v>335</v>
      </c>
      <c r="G1765" s="11">
        <v>0</v>
      </c>
      <c r="H1765" s="31">
        <v>10.5</v>
      </c>
      <c r="I1765" s="7"/>
      <c r="J1765" s="7">
        <f t="shared" si="689"/>
        <v>10.5</v>
      </c>
      <c r="K1765" s="7"/>
      <c r="L1765" s="7">
        <f t="shared" si="690"/>
        <v>10.5</v>
      </c>
      <c r="M1765" s="7"/>
      <c r="N1765" s="7">
        <v>10.5</v>
      </c>
      <c r="O1765" s="7">
        <v>10.5</v>
      </c>
      <c r="P1765" s="349">
        <v>10.5</v>
      </c>
      <c r="Q1765" s="257">
        <v>100</v>
      </c>
    </row>
    <row r="1766" spans="1:17" s="12" customFormat="1">
      <c r="A1766" s="8" t="s">
        <v>380</v>
      </c>
      <c r="B1766" s="10" t="s">
        <v>516</v>
      </c>
      <c r="C1766" s="10" t="s">
        <v>11</v>
      </c>
      <c r="D1766" s="10" t="s">
        <v>56</v>
      </c>
      <c r="E1766" s="41" t="s">
        <v>43</v>
      </c>
      <c r="F1766" s="10" t="s">
        <v>336</v>
      </c>
      <c r="G1766" s="11">
        <v>-13</v>
      </c>
      <c r="H1766" s="31">
        <v>8</v>
      </c>
      <c r="I1766" s="7"/>
      <c r="J1766" s="7">
        <f t="shared" si="689"/>
        <v>8</v>
      </c>
      <c r="K1766" s="7"/>
      <c r="L1766" s="7">
        <f t="shared" si="690"/>
        <v>8</v>
      </c>
      <c r="M1766" s="7"/>
      <c r="N1766" s="7">
        <v>8</v>
      </c>
      <c r="O1766" s="7">
        <v>8</v>
      </c>
      <c r="P1766" s="349">
        <v>8</v>
      </c>
      <c r="Q1766" s="257">
        <v>100</v>
      </c>
    </row>
    <row r="1767" spans="1:17" s="12" customFormat="1">
      <c r="A1767" s="8" t="s">
        <v>363</v>
      </c>
      <c r="B1767" s="10" t="s">
        <v>516</v>
      </c>
      <c r="C1767" s="10" t="s">
        <v>11</v>
      </c>
      <c r="D1767" s="10" t="s">
        <v>56</v>
      </c>
      <c r="E1767" s="10" t="s">
        <v>682</v>
      </c>
      <c r="F1767" s="10"/>
      <c r="G1767" s="11">
        <v>129</v>
      </c>
      <c r="H1767" s="31">
        <v>129</v>
      </c>
      <c r="I1767" s="7">
        <f t="shared" ref="I1767:M1768" si="691">I1768</f>
        <v>0.1</v>
      </c>
      <c r="J1767" s="7">
        <f t="shared" si="691"/>
        <v>129.1</v>
      </c>
      <c r="K1767" s="7">
        <f t="shared" si="691"/>
        <v>0</v>
      </c>
      <c r="L1767" s="7">
        <f t="shared" si="691"/>
        <v>129.1</v>
      </c>
      <c r="M1767" s="7">
        <f t="shared" si="691"/>
        <v>0</v>
      </c>
      <c r="N1767" s="7">
        <v>129.1</v>
      </c>
      <c r="O1767" s="7">
        <v>129.1</v>
      </c>
      <c r="P1767" s="349">
        <v>129.1</v>
      </c>
      <c r="Q1767" s="257">
        <v>100</v>
      </c>
    </row>
    <row r="1768" spans="1:17" s="12" customFormat="1" ht="63">
      <c r="A1768" s="8" t="s">
        <v>722</v>
      </c>
      <c r="B1768" s="10" t="s">
        <v>516</v>
      </c>
      <c r="C1768" s="10" t="s">
        <v>11</v>
      </c>
      <c r="D1768" s="10" t="s">
        <v>56</v>
      </c>
      <c r="E1768" s="10" t="s">
        <v>683</v>
      </c>
      <c r="F1768" s="10"/>
      <c r="G1768" s="11">
        <v>129</v>
      </c>
      <c r="H1768" s="31">
        <v>129</v>
      </c>
      <c r="I1768" s="7">
        <f t="shared" si="691"/>
        <v>0.1</v>
      </c>
      <c r="J1768" s="7">
        <f t="shared" si="691"/>
        <v>129.1</v>
      </c>
      <c r="K1768" s="7">
        <f t="shared" si="691"/>
        <v>0</v>
      </c>
      <c r="L1768" s="7">
        <f t="shared" si="691"/>
        <v>129.1</v>
      </c>
      <c r="M1768" s="7">
        <f t="shared" si="691"/>
        <v>0</v>
      </c>
      <c r="N1768" s="7">
        <v>129.1</v>
      </c>
      <c r="O1768" s="7">
        <v>129.1</v>
      </c>
      <c r="P1768" s="349">
        <v>129.1</v>
      </c>
      <c r="Q1768" s="257">
        <v>100</v>
      </c>
    </row>
    <row r="1769" spans="1:17" s="12" customFormat="1">
      <c r="A1769" s="8" t="s">
        <v>362</v>
      </c>
      <c r="B1769" s="10" t="s">
        <v>516</v>
      </c>
      <c r="C1769" s="10" t="s">
        <v>11</v>
      </c>
      <c r="D1769" s="10" t="s">
        <v>56</v>
      </c>
      <c r="E1769" s="10" t="s">
        <v>683</v>
      </c>
      <c r="F1769" s="10" t="s">
        <v>334</v>
      </c>
      <c r="G1769" s="11">
        <v>129</v>
      </c>
      <c r="H1769" s="31">
        <v>129</v>
      </c>
      <c r="I1769" s="7">
        <v>0.1</v>
      </c>
      <c r="J1769" s="7">
        <f>H1769+I1769</f>
        <v>129.1</v>
      </c>
      <c r="K1769" s="7"/>
      <c r="L1769" s="7">
        <f>J1769+K1769</f>
        <v>129.1</v>
      </c>
      <c r="M1769" s="7"/>
      <c r="N1769" s="7">
        <v>129.1</v>
      </c>
      <c r="O1769" s="7">
        <v>129.1</v>
      </c>
      <c r="P1769" s="349">
        <v>129.1</v>
      </c>
      <c r="Q1769" s="257">
        <v>100</v>
      </c>
    </row>
    <row r="1770" spans="1:17" s="30" customFormat="1">
      <c r="A1770" s="26" t="s">
        <v>8</v>
      </c>
      <c r="B1770" s="27" t="s">
        <v>516</v>
      </c>
      <c r="C1770" s="27" t="s">
        <v>9</v>
      </c>
      <c r="D1770" s="27"/>
      <c r="E1770" s="27"/>
      <c r="F1770" s="27"/>
      <c r="G1770" s="28">
        <v>86</v>
      </c>
      <c r="H1770" s="28">
        <v>86</v>
      </c>
      <c r="I1770" s="29">
        <f t="shared" ref="I1770:M1772" si="692">I1771</f>
        <v>-11.5</v>
      </c>
      <c r="J1770" s="29">
        <f t="shared" si="692"/>
        <v>74.5</v>
      </c>
      <c r="K1770" s="29">
        <f t="shared" si="692"/>
        <v>0</v>
      </c>
      <c r="L1770" s="29">
        <f t="shared" si="692"/>
        <v>74.5</v>
      </c>
      <c r="M1770" s="29">
        <f t="shared" si="692"/>
        <v>0</v>
      </c>
      <c r="N1770" s="29">
        <v>74.5</v>
      </c>
      <c r="O1770" s="29">
        <v>74.5</v>
      </c>
      <c r="P1770" s="348">
        <v>74.5</v>
      </c>
      <c r="Q1770" s="256">
        <v>100</v>
      </c>
    </row>
    <row r="1771" spans="1:17" s="30" customFormat="1" ht="31.5">
      <c r="A1771" s="26" t="s">
        <v>75</v>
      </c>
      <c r="B1771" s="27" t="s">
        <v>516</v>
      </c>
      <c r="C1771" s="27" t="s">
        <v>9</v>
      </c>
      <c r="D1771" s="27" t="s">
        <v>31</v>
      </c>
      <c r="E1771" s="27"/>
      <c r="F1771" s="27"/>
      <c r="G1771" s="28">
        <v>86</v>
      </c>
      <c r="H1771" s="28">
        <v>86</v>
      </c>
      <c r="I1771" s="29">
        <f t="shared" si="692"/>
        <v>-11.5</v>
      </c>
      <c r="J1771" s="29">
        <f t="shared" si="692"/>
        <v>74.5</v>
      </c>
      <c r="K1771" s="29">
        <f t="shared" si="692"/>
        <v>0</v>
      </c>
      <c r="L1771" s="29">
        <f t="shared" si="692"/>
        <v>74.5</v>
      </c>
      <c r="M1771" s="29">
        <f t="shared" si="692"/>
        <v>0</v>
      </c>
      <c r="N1771" s="29">
        <v>74.5</v>
      </c>
      <c r="O1771" s="29">
        <v>74.5</v>
      </c>
      <c r="P1771" s="348">
        <v>74.5</v>
      </c>
      <c r="Q1771" s="256">
        <v>100</v>
      </c>
    </row>
    <row r="1772" spans="1:17" s="12" customFormat="1">
      <c r="A1772" s="8" t="s">
        <v>343</v>
      </c>
      <c r="B1772" s="10" t="s">
        <v>516</v>
      </c>
      <c r="C1772" s="10" t="s">
        <v>9</v>
      </c>
      <c r="D1772" s="10" t="s">
        <v>31</v>
      </c>
      <c r="E1772" s="10" t="s">
        <v>342</v>
      </c>
      <c r="F1772" s="10"/>
      <c r="G1772" s="11">
        <v>86</v>
      </c>
      <c r="H1772" s="11">
        <v>86</v>
      </c>
      <c r="I1772" s="7">
        <f t="shared" si="692"/>
        <v>-11.5</v>
      </c>
      <c r="J1772" s="7">
        <f t="shared" si="692"/>
        <v>74.5</v>
      </c>
      <c r="K1772" s="7">
        <f t="shared" si="692"/>
        <v>0</v>
      </c>
      <c r="L1772" s="7">
        <f t="shared" si="692"/>
        <v>74.5</v>
      </c>
      <c r="M1772" s="7">
        <f t="shared" si="692"/>
        <v>0</v>
      </c>
      <c r="N1772" s="7">
        <v>74.5</v>
      </c>
      <c r="O1772" s="7">
        <v>74.5</v>
      </c>
      <c r="P1772" s="349">
        <v>74.5</v>
      </c>
      <c r="Q1772" s="257">
        <v>100</v>
      </c>
    </row>
    <row r="1773" spans="1:17" s="12" customFormat="1" ht="31.5">
      <c r="A1773" s="8" t="s">
        <v>471</v>
      </c>
      <c r="B1773" s="10" t="s">
        <v>516</v>
      </c>
      <c r="C1773" s="10" t="s">
        <v>9</v>
      </c>
      <c r="D1773" s="10" t="s">
        <v>31</v>
      </c>
      <c r="E1773" s="10" t="s">
        <v>344</v>
      </c>
      <c r="F1773" s="10"/>
      <c r="G1773" s="11">
        <v>86</v>
      </c>
      <c r="H1773" s="11">
        <v>86</v>
      </c>
      <c r="I1773" s="7">
        <f t="shared" ref="I1773:M1773" si="693">I1774+I1775</f>
        <v>-11.5</v>
      </c>
      <c r="J1773" s="7">
        <f t="shared" si="693"/>
        <v>74.5</v>
      </c>
      <c r="K1773" s="7">
        <f t="shared" si="693"/>
        <v>0</v>
      </c>
      <c r="L1773" s="7">
        <f t="shared" si="693"/>
        <v>74.5</v>
      </c>
      <c r="M1773" s="7">
        <f t="shared" si="693"/>
        <v>0</v>
      </c>
      <c r="N1773" s="7">
        <v>74.5</v>
      </c>
      <c r="O1773" s="7">
        <v>74.5</v>
      </c>
      <c r="P1773" s="349">
        <v>74.5</v>
      </c>
      <c r="Q1773" s="257">
        <v>100</v>
      </c>
    </row>
    <row r="1774" spans="1:17" s="12" customFormat="1">
      <c r="A1774" s="8" t="s">
        <v>356</v>
      </c>
      <c r="B1774" s="10" t="s">
        <v>516</v>
      </c>
      <c r="C1774" s="10" t="s">
        <v>9</v>
      </c>
      <c r="D1774" s="10" t="s">
        <v>31</v>
      </c>
      <c r="E1774" s="10" t="s">
        <v>344</v>
      </c>
      <c r="F1774" s="10" t="s">
        <v>332</v>
      </c>
      <c r="G1774" s="11">
        <v>68</v>
      </c>
      <c r="H1774" s="31">
        <v>68</v>
      </c>
      <c r="I1774" s="7">
        <v>-11.5</v>
      </c>
      <c r="J1774" s="7">
        <f>H1774+I1774</f>
        <v>56.5</v>
      </c>
      <c r="K1774" s="7"/>
      <c r="L1774" s="7">
        <f>J1774+K1774</f>
        <v>56.5</v>
      </c>
      <c r="M1774" s="7"/>
      <c r="N1774" s="7">
        <v>56.5</v>
      </c>
      <c r="O1774" s="7">
        <v>56.5</v>
      </c>
      <c r="P1774" s="349">
        <v>56.5</v>
      </c>
      <c r="Q1774" s="257">
        <v>100</v>
      </c>
    </row>
    <row r="1775" spans="1:17" s="12" customFormat="1">
      <c r="A1775" s="8" t="s">
        <v>362</v>
      </c>
      <c r="B1775" s="10" t="s">
        <v>516</v>
      </c>
      <c r="C1775" s="10" t="s">
        <v>9</v>
      </c>
      <c r="D1775" s="10" t="s">
        <v>31</v>
      </c>
      <c r="E1775" s="10" t="s">
        <v>344</v>
      </c>
      <c r="F1775" s="41" t="s">
        <v>334</v>
      </c>
      <c r="G1775" s="11">
        <v>18</v>
      </c>
      <c r="H1775" s="31">
        <v>18</v>
      </c>
      <c r="I1775" s="7"/>
      <c r="J1775" s="7">
        <f>H1775+I1775</f>
        <v>18</v>
      </c>
      <c r="K1775" s="7"/>
      <c r="L1775" s="7">
        <f>J1775+K1775</f>
        <v>18</v>
      </c>
      <c r="M1775" s="7"/>
      <c r="N1775" s="7">
        <v>18</v>
      </c>
      <c r="O1775" s="7">
        <v>18</v>
      </c>
      <c r="P1775" s="349">
        <v>18</v>
      </c>
      <c r="Q1775" s="257">
        <v>100</v>
      </c>
    </row>
    <row r="1776" spans="1:17">
      <c r="A1776" s="410" t="s">
        <v>351</v>
      </c>
      <c r="B1776" s="411"/>
      <c r="C1776" s="411"/>
      <c r="D1776" s="411"/>
      <c r="E1776" s="411"/>
      <c r="F1776" s="411"/>
      <c r="G1776" s="28">
        <v>16757.2</v>
      </c>
      <c r="H1776" s="28">
        <v>132747.20000000001</v>
      </c>
      <c r="I1776" s="29" t="e">
        <f>I1777+I1782+I1814</f>
        <v>#REF!</v>
      </c>
      <c r="J1776" s="29" t="e">
        <f>J1777+J1782+J1814</f>
        <v>#REF!</v>
      </c>
      <c r="K1776" s="29" t="e">
        <f>K1777+K1782+K1814</f>
        <v>#REF!</v>
      </c>
      <c r="L1776" s="29" t="e">
        <f>L1777+L1782+L1814</f>
        <v>#REF!</v>
      </c>
      <c r="M1776" s="29" t="e">
        <f>M1777+M1782+M1814</f>
        <v>#REF!</v>
      </c>
      <c r="N1776" s="29">
        <v>142746.9</v>
      </c>
      <c r="O1776" s="29">
        <v>144039</v>
      </c>
      <c r="P1776" s="348">
        <v>139876.4</v>
      </c>
      <c r="Q1776" s="256">
        <v>97.11</v>
      </c>
    </row>
    <row r="1777" spans="1:17" s="30" customFormat="1">
      <c r="A1777" s="26" t="s">
        <v>168</v>
      </c>
      <c r="B1777" s="73">
        <v>921</v>
      </c>
      <c r="C1777" s="27" t="s">
        <v>26</v>
      </c>
      <c r="D1777" s="27"/>
      <c r="E1777" s="27"/>
      <c r="F1777" s="27"/>
      <c r="G1777" s="28">
        <v>-431.8</v>
      </c>
      <c r="H1777" s="28">
        <v>2267.6</v>
      </c>
      <c r="I1777" s="29">
        <f t="shared" ref="I1777:M1780" si="694">I1778</f>
        <v>320</v>
      </c>
      <c r="J1777" s="29">
        <f t="shared" si="694"/>
        <v>2587.6</v>
      </c>
      <c r="K1777" s="29">
        <f t="shared" si="694"/>
        <v>0</v>
      </c>
      <c r="L1777" s="29">
        <f t="shared" si="694"/>
        <v>2587.6</v>
      </c>
      <c r="M1777" s="29">
        <f t="shared" si="694"/>
        <v>-2.4</v>
      </c>
      <c r="N1777" s="29">
        <v>2585.1999999999998</v>
      </c>
      <c r="O1777" s="29">
        <v>2585.1999999999998</v>
      </c>
      <c r="P1777" s="348">
        <v>2585.1999999999998</v>
      </c>
      <c r="Q1777" s="256">
        <v>100</v>
      </c>
    </row>
    <row r="1778" spans="1:17" s="30" customFormat="1">
      <c r="A1778" s="26" t="s">
        <v>290</v>
      </c>
      <c r="B1778" s="73">
        <v>921</v>
      </c>
      <c r="C1778" s="27" t="s">
        <v>26</v>
      </c>
      <c r="D1778" s="27" t="s">
        <v>11</v>
      </c>
      <c r="E1778" s="27"/>
      <c r="F1778" s="27"/>
      <c r="G1778" s="28">
        <v>-431.8</v>
      </c>
      <c r="H1778" s="28">
        <v>2267.6</v>
      </c>
      <c r="I1778" s="29">
        <f t="shared" si="694"/>
        <v>320</v>
      </c>
      <c r="J1778" s="29">
        <f t="shared" si="694"/>
        <v>2587.6</v>
      </c>
      <c r="K1778" s="29">
        <f t="shared" si="694"/>
        <v>0</v>
      </c>
      <c r="L1778" s="29">
        <f t="shared" si="694"/>
        <v>2587.6</v>
      </c>
      <c r="M1778" s="29">
        <f t="shared" si="694"/>
        <v>-2.4</v>
      </c>
      <c r="N1778" s="29">
        <v>2585.1999999999998</v>
      </c>
      <c r="O1778" s="29">
        <v>2585.1999999999998</v>
      </c>
      <c r="P1778" s="348">
        <v>2585.1999999999998</v>
      </c>
      <c r="Q1778" s="256">
        <v>100</v>
      </c>
    </row>
    <row r="1779" spans="1:17" s="12" customFormat="1">
      <c r="A1779" s="8" t="s">
        <v>363</v>
      </c>
      <c r="B1779" s="57">
        <v>921</v>
      </c>
      <c r="C1779" s="10" t="s">
        <v>26</v>
      </c>
      <c r="D1779" s="10" t="s">
        <v>11</v>
      </c>
      <c r="E1779" s="10" t="s">
        <v>364</v>
      </c>
      <c r="F1779" s="10"/>
      <c r="G1779" s="11">
        <v>-431.8</v>
      </c>
      <c r="H1779" s="11">
        <v>2267.6</v>
      </c>
      <c r="I1779" s="7">
        <f t="shared" si="694"/>
        <v>320</v>
      </c>
      <c r="J1779" s="7">
        <f t="shared" si="694"/>
        <v>2587.6</v>
      </c>
      <c r="K1779" s="7">
        <f t="shared" si="694"/>
        <v>0</v>
      </c>
      <c r="L1779" s="7">
        <f t="shared" si="694"/>
        <v>2587.6</v>
      </c>
      <c r="M1779" s="7">
        <f t="shared" si="694"/>
        <v>-2.4</v>
      </c>
      <c r="N1779" s="7">
        <v>2585.1999999999998</v>
      </c>
      <c r="O1779" s="7">
        <v>2585.1999999999998</v>
      </c>
      <c r="P1779" s="349">
        <v>2585.1999999999998</v>
      </c>
      <c r="Q1779" s="257">
        <v>100</v>
      </c>
    </row>
    <row r="1780" spans="1:17" s="12" customFormat="1" ht="47.25">
      <c r="A1780" s="8" t="s">
        <v>552</v>
      </c>
      <c r="B1780" s="57">
        <v>921</v>
      </c>
      <c r="C1780" s="10" t="s">
        <v>26</v>
      </c>
      <c r="D1780" s="10" t="s">
        <v>11</v>
      </c>
      <c r="E1780" s="10" t="s">
        <v>500</v>
      </c>
      <c r="F1780" s="10"/>
      <c r="G1780" s="11">
        <v>-431.8</v>
      </c>
      <c r="H1780" s="11">
        <v>2267.6</v>
      </c>
      <c r="I1780" s="7">
        <f t="shared" si="694"/>
        <v>320</v>
      </c>
      <c r="J1780" s="7">
        <f t="shared" si="694"/>
        <v>2587.6</v>
      </c>
      <c r="K1780" s="7">
        <f t="shared" si="694"/>
        <v>0</v>
      </c>
      <c r="L1780" s="7">
        <f t="shared" si="694"/>
        <v>2587.6</v>
      </c>
      <c r="M1780" s="7">
        <f t="shared" si="694"/>
        <v>-2.4</v>
      </c>
      <c r="N1780" s="7">
        <v>2585.1999999999998</v>
      </c>
      <c r="O1780" s="7">
        <v>2585.1999999999998</v>
      </c>
      <c r="P1780" s="349">
        <v>2585.1999999999998</v>
      </c>
      <c r="Q1780" s="257">
        <v>100</v>
      </c>
    </row>
    <row r="1781" spans="1:17" s="12" customFormat="1">
      <c r="A1781" s="8" t="s">
        <v>354</v>
      </c>
      <c r="B1781" s="57">
        <v>921</v>
      </c>
      <c r="C1781" s="10" t="s">
        <v>26</v>
      </c>
      <c r="D1781" s="10" t="s">
        <v>11</v>
      </c>
      <c r="E1781" s="10" t="s">
        <v>500</v>
      </c>
      <c r="F1781" s="10" t="s">
        <v>346</v>
      </c>
      <c r="G1781" s="11">
        <v>-431.8</v>
      </c>
      <c r="H1781" s="31">
        <v>2267.6</v>
      </c>
      <c r="I1781" s="7">
        <v>320</v>
      </c>
      <c r="J1781" s="7">
        <f>H1781+I1781</f>
        <v>2587.6</v>
      </c>
      <c r="K1781" s="7"/>
      <c r="L1781" s="7">
        <f>J1781+K1781</f>
        <v>2587.6</v>
      </c>
      <c r="M1781" s="7">
        <v>-2.4</v>
      </c>
      <c r="N1781" s="7">
        <v>2585.1999999999998</v>
      </c>
      <c r="O1781" s="7">
        <v>2585.1999999999998</v>
      </c>
      <c r="P1781" s="349">
        <v>2585.1999999999998</v>
      </c>
      <c r="Q1781" s="257">
        <v>100</v>
      </c>
    </row>
    <row r="1782" spans="1:17" s="30" customFormat="1" ht="31.5">
      <c r="A1782" s="26" t="s">
        <v>265</v>
      </c>
      <c r="B1782" s="73">
        <v>921</v>
      </c>
      <c r="C1782" s="27" t="s">
        <v>28</v>
      </c>
      <c r="D1782" s="27"/>
      <c r="E1782" s="27"/>
      <c r="F1782" s="27"/>
      <c r="G1782" s="28">
        <v>17155</v>
      </c>
      <c r="H1782" s="28">
        <v>127493.8</v>
      </c>
      <c r="I1782" s="29" t="e">
        <f>I1783+I1797+I1805</f>
        <v>#REF!</v>
      </c>
      <c r="J1782" s="29" t="e">
        <f>J1783+J1797+J1805</f>
        <v>#REF!</v>
      </c>
      <c r="K1782" s="29" t="e">
        <f>K1783+K1797+K1805</f>
        <v>#REF!</v>
      </c>
      <c r="L1782" s="29" t="e">
        <f>L1783+L1797+L1805</f>
        <v>#REF!</v>
      </c>
      <c r="M1782" s="29" t="e">
        <f>M1783+M1797+M1805</f>
        <v>#REF!</v>
      </c>
      <c r="N1782" s="29">
        <v>139305.4</v>
      </c>
      <c r="O1782" s="29">
        <v>140597.5</v>
      </c>
      <c r="P1782" s="348">
        <v>136436.6</v>
      </c>
      <c r="Q1782" s="256">
        <v>97.04</v>
      </c>
    </row>
    <row r="1783" spans="1:17" s="30" customFormat="1" ht="31.5">
      <c r="A1783" s="26" t="s">
        <v>307</v>
      </c>
      <c r="B1783" s="73">
        <v>921</v>
      </c>
      <c r="C1783" s="27" t="s">
        <v>28</v>
      </c>
      <c r="D1783" s="27" t="s">
        <v>14</v>
      </c>
      <c r="E1783" s="27"/>
      <c r="F1783" s="27"/>
      <c r="G1783" s="28">
        <v>3692.8</v>
      </c>
      <c r="H1783" s="28">
        <v>23167.3</v>
      </c>
      <c r="I1783" s="29" t="e">
        <f>I1786+I1789</f>
        <v>#REF!</v>
      </c>
      <c r="J1783" s="29" t="e">
        <f>J1786+J1789</f>
        <v>#REF!</v>
      </c>
      <c r="K1783" s="29" t="e">
        <f>K1786+K1789</f>
        <v>#REF!</v>
      </c>
      <c r="L1783" s="29" t="e">
        <f>L1786+L1789</f>
        <v>#REF!</v>
      </c>
      <c r="M1783" s="29" t="e">
        <f>M1786+M1789</f>
        <v>#REF!</v>
      </c>
      <c r="N1783" s="29">
        <v>34846.800000000003</v>
      </c>
      <c r="O1783" s="29">
        <v>36138.9</v>
      </c>
      <c r="P1783" s="348">
        <v>32450</v>
      </c>
      <c r="Q1783" s="256">
        <v>89.79</v>
      </c>
    </row>
    <row r="1784" spans="1:17" s="12" customFormat="1" ht="47.25">
      <c r="A1784" s="8" t="s">
        <v>148</v>
      </c>
      <c r="B1784" s="57">
        <v>921</v>
      </c>
      <c r="C1784" s="10" t="s">
        <v>28</v>
      </c>
      <c r="D1784" s="10" t="s">
        <v>14</v>
      </c>
      <c r="E1784" s="10" t="s">
        <v>149</v>
      </c>
      <c r="F1784" s="10"/>
      <c r="G1784" s="11"/>
      <c r="H1784" s="11"/>
      <c r="I1784" s="7"/>
      <c r="J1784" s="7"/>
      <c r="K1784" s="7"/>
      <c r="L1784" s="7"/>
      <c r="M1784" s="7"/>
      <c r="N1784" s="7">
        <v>0</v>
      </c>
      <c r="O1784" s="7">
        <v>1292.0999999999999</v>
      </c>
      <c r="P1784" s="349">
        <v>1292.0999999999999</v>
      </c>
      <c r="Q1784" s="257">
        <v>100</v>
      </c>
    </row>
    <row r="1785" spans="1:17" s="12" customFormat="1">
      <c r="A1785" s="8" t="s">
        <v>362</v>
      </c>
      <c r="B1785" s="57">
        <v>921</v>
      </c>
      <c r="C1785" s="10" t="s">
        <v>28</v>
      </c>
      <c r="D1785" s="10" t="s">
        <v>14</v>
      </c>
      <c r="E1785" s="10" t="s">
        <v>149</v>
      </c>
      <c r="F1785" s="10" t="s">
        <v>334</v>
      </c>
      <c r="G1785" s="11"/>
      <c r="H1785" s="11"/>
      <c r="I1785" s="7"/>
      <c r="J1785" s="7"/>
      <c r="K1785" s="7"/>
      <c r="L1785" s="7"/>
      <c r="M1785" s="7"/>
      <c r="N1785" s="7">
        <v>0</v>
      </c>
      <c r="O1785" s="7">
        <v>1292.0999999999999</v>
      </c>
      <c r="P1785" s="349">
        <v>1292.0999999999999</v>
      </c>
      <c r="Q1785" s="257">
        <v>100</v>
      </c>
    </row>
    <row r="1786" spans="1:17" s="12" customFormat="1">
      <c r="A1786" s="8" t="s">
        <v>17</v>
      </c>
      <c r="B1786" s="57">
        <v>921</v>
      </c>
      <c r="C1786" s="10" t="s">
        <v>28</v>
      </c>
      <c r="D1786" s="10" t="s">
        <v>14</v>
      </c>
      <c r="E1786" s="10" t="s">
        <v>18</v>
      </c>
      <c r="F1786" s="10"/>
      <c r="G1786" s="11">
        <v>2000</v>
      </c>
      <c r="H1786" s="11">
        <v>2000</v>
      </c>
      <c r="I1786" s="7" t="e">
        <f t="shared" ref="I1786:M1786" si="695">I1787</f>
        <v>#REF!</v>
      </c>
      <c r="J1786" s="7" t="e">
        <f t="shared" si="695"/>
        <v>#REF!</v>
      </c>
      <c r="K1786" s="7" t="e">
        <f t="shared" si="695"/>
        <v>#REF!</v>
      </c>
      <c r="L1786" s="7" t="e">
        <f t="shared" si="695"/>
        <v>#REF!</v>
      </c>
      <c r="M1786" s="7" t="e">
        <f t="shared" si="695"/>
        <v>#REF!</v>
      </c>
      <c r="N1786" s="7">
        <v>2000</v>
      </c>
      <c r="O1786" s="7">
        <v>2000</v>
      </c>
      <c r="P1786" s="349">
        <v>2000</v>
      </c>
      <c r="Q1786" s="257">
        <v>100</v>
      </c>
    </row>
    <row r="1787" spans="1:17" s="12" customFormat="1" ht="94.5">
      <c r="A1787" s="8" t="s">
        <v>721</v>
      </c>
      <c r="B1787" s="57">
        <v>921</v>
      </c>
      <c r="C1787" s="10" t="s">
        <v>28</v>
      </c>
      <c r="D1787" s="10" t="s">
        <v>14</v>
      </c>
      <c r="E1787" s="10" t="s">
        <v>720</v>
      </c>
      <c r="F1787" s="10"/>
      <c r="G1787" s="11">
        <v>2000</v>
      </c>
      <c r="H1787" s="11">
        <v>2000</v>
      </c>
      <c r="I1787" s="7" t="e">
        <f>#REF!</f>
        <v>#REF!</v>
      </c>
      <c r="J1787" s="7" t="e">
        <f>#REF!+J1788</f>
        <v>#REF!</v>
      </c>
      <c r="K1787" s="7" t="e">
        <f>#REF!+K1788</f>
        <v>#REF!</v>
      </c>
      <c r="L1787" s="7" t="e">
        <f>#REF!+L1788</f>
        <v>#REF!</v>
      </c>
      <c r="M1787" s="7" t="e">
        <f>#REF!+M1788</f>
        <v>#REF!</v>
      </c>
      <c r="N1787" s="7">
        <v>2000</v>
      </c>
      <c r="O1787" s="7">
        <v>2000</v>
      </c>
      <c r="P1787" s="349">
        <v>2000</v>
      </c>
      <c r="Q1787" s="257">
        <v>100</v>
      </c>
    </row>
    <row r="1788" spans="1:17" s="12" customFormat="1" ht="31.5">
      <c r="A1788" s="8" t="s">
        <v>361</v>
      </c>
      <c r="B1788" s="57">
        <v>921</v>
      </c>
      <c r="C1788" s="10" t="s">
        <v>28</v>
      </c>
      <c r="D1788" s="10" t="s">
        <v>14</v>
      </c>
      <c r="E1788" s="10" t="s">
        <v>720</v>
      </c>
      <c r="F1788" s="10" t="s">
        <v>333</v>
      </c>
      <c r="G1788" s="11"/>
      <c r="H1788" s="11"/>
      <c r="I1788" s="7"/>
      <c r="J1788" s="7"/>
      <c r="K1788" s="7">
        <v>2000</v>
      </c>
      <c r="L1788" s="7">
        <f>J1788+K1788</f>
        <v>2000</v>
      </c>
      <c r="M1788" s="7"/>
      <c r="N1788" s="7">
        <v>2000</v>
      </c>
      <c r="O1788" s="7">
        <v>2000</v>
      </c>
      <c r="P1788" s="349">
        <v>2000</v>
      </c>
      <c r="Q1788" s="257">
        <v>100</v>
      </c>
    </row>
    <row r="1789" spans="1:17" s="12" customFormat="1">
      <c r="A1789" s="8" t="s">
        <v>363</v>
      </c>
      <c r="B1789" s="57">
        <v>921</v>
      </c>
      <c r="C1789" s="10" t="s">
        <v>28</v>
      </c>
      <c r="D1789" s="10" t="s">
        <v>14</v>
      </c>
      <c r="E1789" s="10" t="s">
        <v>364</v>
      </c>
      <c r="F1789" s="10"/>
      <c r="G1789" s="11">
        <v>1692.8</v>
      </c>
      <c r="H1789" s="11">
        <v>21167.3</v>
      </c>
      <c r="I1789" s="7">
        <f t="shared" ref="I1789:M1789" si="696">I1790+I1795</f>
        <v>7981.5</v>
      </c>
      <c r="J1789" s="7">
        <f t="shared" si="696"/>
        <v>29148.799999999999</v>
      </c>
      <c r="K1789" s="7">
        <f t="shared" si="696"/>
        <v>3876.9</v>
      </c>
      <c r="L1789" s="7">
        <f t="shared" si="696"/>
        <v>33025.699999999997</v>
      </c>
      <c r="M1789" s="7">
        <f t="shared" si="696"/>
        <v>-178.9</v>
      </c>
      <c r="N1789" s="7">
        <v>32846.800000000003</v>
      </c>
      <c r="O1789" s="7">
        <v>32846.800000000003</v>
      </c>
      <c r="P1789" s="349">
        <v>29157.9</v>
      </c>
      <c r="Q1789" s="257">
        <v>88.77</v>
      </c>
    </row>
    <row r="1790" spans="1:17" s="12" customFormat="1" ht="47.25">
      <c r="A1790" s="8" t="s">
        <v>552</v>
      </c>
      <c r="B1790" s="57">
        <v>921</v>
      </c>
      <c r="C1790" s="10" t="s">
        <v>28</v>
      </c>
      <c r="D1790" s="10" t="s">
        <v>14</v>
      </c>
      <c r="E1790" s="10" t="s">
        <v>500</v>
      </c>
      <c r="F1790" s="10"/>
      <c r="G1790" s="11">
        <v>1692.8</v>
      </c>
      <c r="H1790" s="11">
        <v>21167.3</v>
      </c>
      <c r="I1790" s="7">
        <f t="shared" ref="I1790:M1790" si="697">I1791+I1792+I1793+I1794</f>
        <v>2981.5</v>
      </c>
      <c r="J1790" s="7">
        <f t="shared" si="697"/>
        <v>24148.799999999999</v>
      </c>
      <c r="K1790" s="7">
        <f t="shared" si="697"/>
        <v>-1123.0999999999999</v>
      </c>
      <c r="L1790" s="7">
        <f t="shared" si="697"/>
        <v>23025.7</v>
      </c>
      <c r="M1790" s="7">
        <f t="shared" si="697"/>
        <v>-178.9</v>
      </c>
      <c r="N1790" s="7">
        <v>22846.799999999999</v>
      </c>
      <c r="O1790" s="7">
        <v>22846.799999999999</v>
      </c>
      <c r="P1790" s="349">
        <v>22657.9</v>
      </c>
      <c r="Q1790" s="257">
        <v>99.17</v>
      </c>
    </row>
    <row r="1791" spans="1:17" s="12" customFormat="1">
      <c r="A1791" s="8" t="s">
        <v>349</v>
      </c>
      <c r="B1791" s="57">
        <v>921</v>
      </c>
      <c r="C1791" s="10" t="s">
        <v>28</v>
      </c>
      <c r="D1791" s="10" t="s">
        <v>14</v>
      </c>
      <c r="E1791" s="10" t="s">
        <v>500</v>
      </c>
      <c r="F1791" s="10" t="s">
        <v>347</v>
      </c>
      <c r="G1791" s="11">
        <v>224.6</v>
      </c>
      <c r="H1791" s="31">
        <v>16563.400000000001</v>
      </c>
      <c r="I1791" s="7"/>
      <c r="J1791" s="7">
        <f>H1791+I1791</f>
        <v>16563.400000000001</v>
      </c>
      <c r="K1791" s="7">
        <v>-342.1</v>
      </c>
      <c r="L1791" s="7">
        <f>J1791+K1791</f>
        <v>16221.3</v>
      </c>
      <c r="M1791" s="7"/>
      <c r="N1791" s="7">
        <v>16221.3</v>
      </c>
      <c r="O1791" s="7">
        <v>16221.3</v>
      </c>
      <c r="P1791" s="349">
        <v>16221.2</v>
      </c>
      <c r="Q1791" s="257">
        <v>100</v>
      </c>
    </row>
    <row r="1792" spans="1:17" s="12" customFormat="1">
      <c r="A1792" s="8" t="s">
        <v>356</v>
      </c>
      <c r="B1792" s="57">
        <v>921</v>
      </c>
      <c r="C1792" s="10" t="s">
        <v>28</v>
      </c>
      <c r="D1792" s="10" t="s">
        <v>14</v>
      </c>
      <c r="E1792" s="10" t="s">
        <v>500</v>
      </c>
      <c r="F1792" s="10" t="s">
        <v>348</v>
      </c>
      <c r="G1792" s="11">
        <v>551.70000000000005</v>
      </c>
      <c r="H1792" s="31">
        <v>990.5</v>
      </c>
      <c r="I1792" s="7">
        <v>-320</v>
      </c>
      <c r="J1792" s="7">
        <f>H1792+I1792</f>
        <v>670.5</v>
      </c>
      <c r="K1792" s="7">
        <v>-80</v>
      </c>
      <c r="L1792" s="7">
        <f>J1792+K1792</f>
        <v>590.5</v>
      </c>
      <c r="M1792" s="7"/>
      <c r="N1792" s="7">
        <v>590.5</v>
      </c>
      <c r="O1792" s="7">
        <v>590.5</v>
      </c>
      <c r="P1792" s="349">
        <v>451.5</v>
      </c>
      <c r="Q1792" s="257">
        <v>76.459999999999994</v>
      </c>
    </row>
    <row r="1793" spans="1:17" s="12" customFormat="1" ht="31.5">
      <c r="A1793" s="8" t="s">
        <v>361</v>
      </c>
      <c r="B1793" s="57">
        <v>921</v>
      </c>
      <c r="C1793" s="10" t="s">
        <v>28</v>
      </c>
      <c r="D1793" s="10" t="s">
        <v>14</v>
      </c>
      <c r="E1793" s="10" t="s">
        <v>500</v>
      </c>
      <c r="F1793" s="10" t="s">
        <v>333</v>
      </c>
      <c r="G1793" s="11">
        <v>185</v>
      </c>
      <c r="H1793" s="31">
        <v>700</v>
      </c>
      <c r="I1793" s="7">
        <v>2544</v>
      </c>
      <c r="J1793" s="7">
        <f>H1793+I1793</f>
        <v>3244</v>
      </c>
      <c r="K1793" s="7">
        <f>-61-100</f>
        <v>-161</v>
      </c>
      <c r="L1793" s="7">
        <f>J1793+K1793</f>
        <v>3083</v>
      </c>
      <c r="M1793" s="7">
        <v>-278.89999999999998</v>
      </c>
      <c r="N1793" s="7">
        <v>2804.1</v>
      </c>
      <c r="O1793" s="7">
        <v>2804.1</v>
      </c>
      <c r="P1793" s="349">
        <v>2776.7</v>
      </c>
      <c r="Q1793" s="257">
        <v>99.02</v>
      </c>
    </row>
    <row r="1794" spans="1:17" s="12" customFormat="1">
      <c r="A1794" s="8" t="s">
        <v>362</v>
      </c>
      <c r="B1794" s="57">
        <v>921</v>
      </c>
      <c r="C1794" s="10" t="s">
        <v>28</v>
      </c>
      <c r="D1794" s="10" t="s">
        <v>14</v>
      </c>
      <c r="E1794" s="10" t="s">
        <v>500</v>
      </c>
      <c r="F1794" s="10" t="s">
        <v>334</v>
      </c>
      <c r="G1794" s="11">
        <v>731.5</v>
      </c>
      <c r="H1794" s="31">
        <v>2913.4</v>
      </c>
      <c r="I1794" s="7">
        <v>757.5</v>
      </c>
      <c r="J1794" s="7">
        <f>H1794+I1794</f>
        <v>3670.9</v>
      </c>
      <c r="K1794" s="7">
        <f>-300+100-340</f>
        <v>-540</v>
      </c>
      <c r="L1794" s="7">
        <f>J1794+K1794</f>
        <v>3130.9</v>
      </c>
      <c r="M1794" s="7">
        <v>100</v>
      </c>
      <c r="N1794" s="7">
        <v>3230.9</v>
      </c>
      <c r="O1794" s="7">
        <v>3230.9</v>
      </c>
      <c r="P1794" s="349">
        <v>3208.5</v>
      </c>
      <c r="Q1794" s="257">
        <v>99.31</v>
      </c>
    </row>
    <row r="1795" spans="1:17" s="12" customFormat="1" ht="47.25">
      <c r="A1795" s="8" t="s">
        <v>827</v>
      </c>
      <c r="B1795" s="57">
        <v>921</v>
      </c>
      <c r="C1795" s="10" t="s">
        <v>28</v>
      </c>
      <c r="D1795" s="10" t="s">
        <v>14</v>
      </c>
      <c r="E1795" s="10" t="s">
        <v>826</v>
      </c>
      <c r="F1795" s="10"/>
      <c r="G1795" s="11"/>
      <c r="H1795" s="31">
        <f t="shared" ref="H1795:M1795" si="698">H1796</f>
        <v>0</v>
      </c>
      <c r="I1795" s="31">
        <f t="shared" si="698"/>
        <v>5000</v>
      </c>
      <c r="J1795" s="31">
        <f t="shared" si="698"/>
        <v>5000</v>
      </c>
      <c r="K1795" s="31">
        <f t="shared" si="698"/>
        <v>5000</v>
      </c>
      <c r="L1795" s="31">
        <f t="shared" si="698"/>
        <v>10000</v>
      </c>
      <c r="M1795" s="31">
        <f t="shared" si="698"/>
        <v>0</v>
      </c>
      <c r="N1795" s="31">
        <v>10000</v>
      </c>
      <c r="O1795" s="36">
        <v>10000</v>
      </c>
      <c r="P1795" s="350">
        <v>6500</v>
      </c>
      <c r="Q1795" s="257">
        <v>65</v>
      </c>
    </row>
    <row r="1796" spans="1:17" s="12" customFormat="1" ht="31.5">
      <c r="A1796" s="8" t="s">
        <v>361</v>
      </c>
      <c r="B1796" s="57">
        <v>921</v>
      </c>
      <c r="C1796" s="10" t="s">
        <v>28</v>
      </c>
      <c r="D1796" s="10" t="s">
        <v>14</v>
      </c>
      <c r="E1796" s="10" t="s">
        <v>826</v>
      </c>
      <c r="F1796" s="10" t="s">
        <v>333</v>
      </c>
      <c r="G1796" s="11"/>
      <c r="H1796" s="31"/>
      <c r="I1796" s="7">
        <v>5000</v>
      </c>
      <c r="J1796" s="7">
        <f>I1796+H1796</f>
        <v>5000</v>
      </c>
      <c r="K1796" s="7">
        <v>5000</v>
      </c>
      <c r="L1796" s="7">
        <f>K1796+J1796</f>
        <v>10000</v>
      </c>
      <c r="M1796" s="7"/>
      <c r="N1796" s="7">
        <v>10000</v>
      </c>
      <c r="O1796" s="7">
        <v>10000</v>
      </c>
      <c r="P1796" s="349">
        <v>6500</v>
      </c>
      <c r="Q1796" s="257">
        <v>65</v>
      </c>
    </row>
    <row r="1797" spans="1:17" s="30" customFormat="1">
      <c r="A1797" s="26" t="s">
        <v>308</v>
      </c>
      <c r="B1797" s="73">
        <v>921</v>
      </c>
      <c r="C1797" s="27" t="s">
        <v>28</v>
      </c>
      <c r="D1797" s="27">
        <v>10</v>
      </c>
      <c r="E1797" s="27"/>
      <c r="F1797" s="27"/>
      <c r="G1797" s="28">
        <v>13106.4</v>
      </c>
      <c r="H1797" s="28">
        <v>97336.7</v>
      </c>
      <c r="I1797" s="29">
        <f t="shared" ref="I1797:M1798" si="699">I1798</f>
        <v>-757.5</v>
      </c>
      <c r="J1797" s="29">
        <f t="shared" si="699"/>
        <v>96579.199999999997</v>
      </c>
      <c r="K1797" s="29">
        <f t="shared" si="699"/>
        <v>-273.5</v>
      </c>
      <c r="L1797" s="29" t="e">
        <f t="shared" si="699"/>
        <v>#REF!</v>
      </c>
      <c r="M1797" s="29" t="e">
        <f t="shared" si="699"/>
        <v>#REF!</v>
      </c>
      <c r="N1797" s="29">
        <v>96441.1</v>
      </c>
      <c r="O1797" s="29">
        <v>96441.1</v>
      </c>
      <c r="P1797" s="348">
        <v>96303</v>
      </c>
      <c r="Q1797" s="256">
        <v>99.86</v>
      </c>
    </row>
    <row r="1798" spans="1:17" s="12" customFormat="1">
      <c r="A1798" s="8" t="s">
        <v>363</v>
      </c>
      <c r="B1798" s="57">
        <v>921</v>
      </c>
      <c r="C1798" s="10" t="s">
        <v>28</v>
      </c>
      <c r="D1798" s="10">
        <v>10</v>
      </c>
      <c r="E1798" s="10" t="s">
        <v>364</v>
      </c>
      <c r="F1798" s="10"/>
      <c r="G1798" s="11">
        <v>13106.4</v>
      </c>
      <c r="H1798" s="11">
        <v>97336.7</v>
      </c>
      <c r="I1798" s="7">
        <f t="shared" si="699"/>
        <v>-757.5</v>
      </c>
      <c r="J1798" s="7">
        <f t="shared" si="699"/>
        <v>96579.199999999997</v>
      </c>
      <c r="K1798" s="7">
        <f t="shared" si="699"/>
        <v>-273.5</v>
      </c>
      <c r="L1798" s="7" t="e">
        <f>L1799+#REF!</f>
        <v>#REF!</v>
      </c>
      <c r="M1798" s="7" t="e">
        <f>M1799+#REF!</f>
        <v>#REF!</v>
      </c>
      <c r="N1798" s="7">
        <v>96441.1</v>
      </c>
      <c r="O1798" s="7">
        <v>96441.1</v>
      </c>
      <c r="P1798" s="349">
        <v>96303</v>
      </c>
      <c r="Q1798" s="257">
        <v>99.86</v>
      </c>
    </row>
    <row r="1799" spans="1:17" s="12" customFormat="1" ht="31.5">
      <c r="A1799" s="8" t="s">
        <v>553</v>
      </c>
      <c r="B1799" s="57">
        <v>921</v>
      </c>
      <c r="C1799" s="10" t="s">
        <v>28</v>
      </c>
      <c r="D1799" s="10">
        <v>10</v>
      </c>
      <c r="E1799" s="10" t="s">
        <v>499</v>
      </c>
      <c r="F1799" s="10"/>
      <c r="G1799" s="11">
        <v>13106.4</v>
      </c>
      <c r="H1799" s="11">
        <v>97336.7</v>
      </c>
      <c r="I1799" s="7">
        <f t="shared" ref="I1799:M1799" si="700">I1800+I1801+I1802+I1803+I1804</f>
        <v>-757.5</v>
      </c>
      <c r="J1799" s="7">
        <f t="shared" si="700"/>
        <v>96579.199999999997</v>
      </c>
      <c r="K1799" s="7">
        <f t="shared" si="700"/>
        <v>-273.5</v>
      </c>
      <c r="L1799" s="7">
        <f t="shared" si="700"/>
        <v>96305.7</v>
      </c>
      <c r="M1799" s="7">
        <f t="shared" si="700"/>
        <v>135.4</v>
      </c>
      <c r="N1799" s="7">
        <v>96441.1</v>
      </c>
      <c r="O1799" s="7">
        <v>96441.1</v>
      </c>
      <c r="P1799" s="349">
        <v>96303</v>
      </c>
      <c r="Q1799" s="257">
        <v>99.86</v>
      </c>
    </row>
    <row r="1800" spans="1:17" s="12" customFormat="1">
      <c r="A1800" s="8" t="s">
        <v>349</v>
      </c>
      <c r="B1800" s="57">
        <v>921</v>
      </c>
      <c r="C1800" s="10" t="s">
        <v>28</v>
      </c>
      <c r="D1800" s="10">
        <v>10</v>
      </c>
      <c r="E1800" s="10" t="s">
        <v>499</v>
      </c>
      <c r="F1800" s="10" t="s">
        <v>347</v>
      </c>
      <c r="G1800" s="11">
        <v>10325.9</v>
      </c>
      <c r="H1800" s="31">
        <v>92585.600000000006</v>
      </c>
      <c r="I1800" s="7">
        <v>-5859</v>
      </c>
      <c r="J1800" s="7">
        <f>H1800+I1800</f>
        <v>86726.6</v>
      </c>
      <c r="K1800" s="7">
        <v>-350</v>
      </c>
      <c r="L1800" s="7">
        <f>J1800+K1800</f>
        <v>86376.6</v>
      </c>
      <c r="M1800" s="7">
        <v>-300</v>
      </c>
      <c r="N1800" s="7">
        <v>86076.6</v>
      </c>
      <c r="O1800" s="7">
        <v>86076.6</v>
      </c>
      <c r="P1800" s="349">
        <v>86076.6</v>
      </c>
      <c r="Q1800" s="257">
        <v>100</v>
      </c>
    </row>
    <row r="1801" spans="1:17" s="12" customFormat="1">
      <c r="A1801" s="8" t="s">
        <v>356</v>
      </c>
      <c r="B1801" s="57">
        <v>921</v>
      </c>
      <c r="C1801" s="10" t="s">
        <v>28</v>
      </c>
      <c r="D1801" s="10">
        <v>10</v>
      </c>
      <c r="E1801" s="10" t="s">
        <v>499</v>
      </c>
      <c r="F1801" s="10" t="s">
        <v>348</v>
      </c>
      <c r="G1801" s="11">
        <v>-191.6</v>
      </c>
      <c r="H1801" s="31">
        <v>150</v>
      </c>
      <c r="I1801" s="7"/>
      <c r="J1801" s="7">
        <f>H1801+I1801</f>
        <v>150</v>
      </c>
      <c r="K1801" s="7">
        <v>-95</v>
      </c>
      <c r="L1801" s="7">
        <f>J1801+K1801</f>
        <v>55</v>
      </c>
      <c r="M1801" s="7"/>
      <c r="N1801" s="7">
        <v>55</v>
      </c>
      <c r="O1801" s="7">
        <v>55</v>
      </c>
      <c r="P1801" s="349">
        <v>55</v>
      </c>
      <c r="Q1801" s="257">
        <v>100</v>
      </c>
    </row>
    <row r="1802" spans="1:17" s="12" customFormat="1" ht="31.5">
      <c r="A1802" s="8" t="s">
        <v>554</v>
      </c>
      <c r="B1802" s="57">
        <v>921</v>
      </c>
      <c r="C1802" s="10" t="s">
        <v>28</v>
      </c>
      <c r="D1802" s="10">
        <v>10</v>
      </c>
      <c r="E1802" s="10" t="s">
        <v>499</v>
      </c>
      <c r="F1802" s="10" t="s">
        <v>350</v>
      </c>
      <c r="G1802" s="11">
        <v>372.7</v>
      </c>
      <c r="H1802" s="31">
        <v>574.20000000000005</v>
      </c>
      <c r="I1802" s="7">
        <v>2720.2</v>
      </c>
      <c r="J1802" s="7">
        <f>H1802+I1802</f>
        <v>3294.4</v>
      </c>
      <c r="K1802" s="7">
        <v>99</v>
      </c>
      <c r="L1802" s="7">
        <f>J1802+K1802</f>
        <v>3393.4</v>
      </c>
      <c r="M1802" s="7">
        <v>1</v>
      </c>
      <c r="N1802" s="7">
        <v>3394.4</v>
      </c>
      <c r="O1802" s="7">
        <v>3394.4</v>
      </c>
      <c r="P1802" s="349">
        <v>3394.4</v>
      </c>
      <c r="Q1802" s="257">
        <v>100</v>
      </c>
    </row>
    <row r="1803" spans="1:17" s="12" customFormat="1" ht="31.5">
      <c r="A1803" s="8" t="s">
        <v>361</v>
      </c>
      <c r="B1803" s="57">
        <v>921</v>
      </c>
      <c r="C1803" s="10" t="s">
        <v>28</v>
      </c>
      <c r="D1803" s="10">
        <v>10</v>
      </c>
      <c r="E1803" s="10" t="s">
        <v>499</v>
      </c>
      <c r="F1803" s="10" t="s">
        <v>333</v>
      </c>
      <c r="G1803" s="11">
        <v>-241.8</v>
      </c>
      <c r="H1803" s="31">
        <v>258.2</v>
      </c>
      <c r="I1803" s="7"/>
      <c r="J1803" s="7">
        <f>H1803+I1803</f>
        <v>258.2</v>
      </c>
      <c r="K1803" s="7"/>
      <c r="L1803" s="7">
        <f>J1803+K1803</f>
        <v>258.2</v>
      </c>
      <c r="M1803" s="7"/>
      <c r="N1803" s="7">
        <v>258.2</v>
      </c>
      <c r="O1803" s="7">
        <v>258.2</v>
      </c>
      <c r="P1803" s="349">
        <v>124.9</v>
      </c>
      <c r="Q1803" s="257">
        <v>48.37</v>
      </c>
    </row>
    <row r="1804" spans="1:17" s="12" customFormat="1">
      <c r="A1804" s="8" t="s">
        <v>362</v>
      </c>
      <c r="B1804" s="57">
        <v>921</v>
      </c>
      <c r="C1804" s="10" t="s">
        <v>28</v>
      </c>
      <c r="D1804" s="10">
        <v>10</v>
      </c>
      <c r="E1804" s="10" t="s">
        <v>499</v>
      </c>
      <c r="F1804" s="10" t="s">
        <v>334</v>
      </c>
      <c r="G1804" s="11">
        <v>2841.2</v>
      </c>
      <c r="H1804" s="31">
        <v>3768.7</v>
      </c>
      <c r="I1804" s="7">
        <v>2381.3000000000002</v>
      </c>
      <c r="J1804" s="7">
        <f>H1804+I1804</f>
        <v>6150</v>
      </c>
      <c r="K1804" s="7">
        <f>357-284.5</f>
        <v>72.5</v>
      </c>
      <c r="L1804" s="7">
        <f>J1804+K1804</f>
        <v>6222.5</v>
      </c>
      <c r="M1804" s="7">
        <f>434.5-0.1</f>
        <v>434.4</v>
      </c>
      <c r="N1804" s="7">
        <v>6656.9</v>
      </c>
      <c r="O1804" s="7">
        <v>6656.9</v>
      </c>
      <c r="P1804" s="349">
        <v>6652.1</v>
      </c>
      <c r="Q1804" s="257">
        <v>99.93</v>
      </c>
    </row>
    <row r="1805" spans="1:17" s="30" customFormat="1" ht="31.5">
      <c r="A1805" s="26" t="s">
        <v>309</v>
      </c>
      <c r="B1805" s="73">
        <v>921</v>
      </c>
      <c r="C1805" s="27" t="s">
        <v>28</v>
      </c>
      <c r="D1805" s="27" t="s">
        <v>200</v>
      </c>
      <c r="E1805" s="27"/>
      <c r="F1805" s="27"/>
      <c r="G1805" s="28">
        <v>355.8</v>
      </c>
      <c r="H1805" s="28">
        <v>6989.8</v>
      </c>
      <c r="I1805" s="29">
        <f t="shared" ref="I1805:M1806" si="701">I1806</f>
        <v>0</v>
      </c>
      <c r="J1805" s="29">
        <f t="shared" si="701"/>
        <v>6989.8</v>
      </c>
      <c r="K1805" s="29">
        <f t="shared" si="701"/>
        <v>979.7</v>
      </c>
      <c r="L1805" s="29">
        <f t="shared" si="701"/>
        <v>7969.5</v>
      </c>
      <c r="M1805" s="29">
        <f t="shared" si="701"/>
        <v>48</v>
      </c>
      <c r="N1805" s="29">
        <v>8017.5</v>
      </c>
      <c r="O1805" s="29">
        <v>8017.5</v>
      </c>
      <c r="P1805" s="348">
        <v>7683.6</v>
      </c>
      <c r="Q1805" s="256">
        <v>95.84</v>
      </c>
    </row>
    <row r="1806" spans="1:17" s="12" customFormat="1">
      <c r="A1806" s="8" t="s">
        <v>363</v>
      </c>
      <c r="B1806" s="57">
        <v>921</v>
      </c>
      <c r="C1806" s="10" t="s">
        <v>28</v>
      </c>
      <c r="D1806" s="10" t="s">
        <v>200</v>
      </c>
      <c r="E1806" s="10" t="s">
        <v>364</v>
      </c>
      <c r="F1806" s="10"/>
      <c r="G1806" s="11">
        <v>355.8</v>
      </c>
      <c r="H1806" s="11">
        <v>6989.8</v>
      </c>
      <c r="I1806" s="7">
        <f t="shared" si="701"/>
        <v>0</v>
      </c>
      <c r="J1806" s="7">
        <f t="shared" si="701"/>
        <v>6989.8</v>
      </c>
      <c r="K1806" s="7">
        <f t="shared" si="701"/>
        <v>979.7</v>
      </c>
      <c r="L1806" s="7">
        <f t="shared" si="701"/>
        <v>7969.5</v>
      </c>
      <c r="M1806" s="7">
        <f t="shared" si="701"/>
        <v>48</v>
      </c>
      <c r="N1806" s="7">
        <v>8017.5</v>
      </c>
      <c r="O1806" s="7">
        <v>8017.5</v>
      </c>
      <c r="P1806" s="349">
        <v>7683.6</v>
      </c>
      <c r="Q1806" s="257">
        <v>95.84</v>
      </c>
    </row>
    <row r="1807" spans="1:17" s="12" customFormat="1" ht="47.25">
      <c r="A1807" s="8" t="s">
        <v>552</v>
      </c>
      <c r="B1807" s="57">
        <v>921</v>
      </c>
      <c r="C1807" s="10" t="s">
        <v>28</v>
      </c>
      <c r="D1807" s="10" t="s">
        <v>200</v>
      </c>
      <c r="E1807" s="10" t="s">
        <v>500</v>
      </c>
      <c r="F1807" s="10"/>
      <c r="G1807" s="11">
        <v>355.8</v>
      </c>
      <c r="H1807" s="11">
        <v>6989.8</v>
      </c>
      <c r="I1807" s="7">
        <f t="shared" ref="I1807:M1807" si="702">I1808+I1809+I1810+I1812+I1813+I1811</f>
        <v>0</v>
      </c>
      <c r="J1807" s="7">
        <f t="shared" si="702"/>
        <v>6989.8</v>
      </c>
      <c r="K1807" s="7">
        <f t="shared" si="702"/>
        <v>979.7</v>
      </c>
      <c r="L1807" s="7">
        <f t="shared" si="702"/>
        <v>7969.5</v>
      </c>
      <c r="M1807" s="7">
        <f t="shared" si="702"/>
        <v>48</v>
      </c>
      <c r="N1807" s="7">
        <v>8017.5</v>
      </c>
      <c r="O1807" s="7">
        <v>8017.5</v>
      </c>
      <c r="P1807" s="349">
        <v>7683.6</v>
      </c>
      <c r="Q1807" s="257">
        <v>95.84</v>
      </c>
    </row>
    <row r="1808" spans="1:17" s="12" customFormat="1">
      <c r="A1808" s="8" t="s">
        <v>356</v>
      </c>
      <c r="B1808" s="57">
        <v>921</v>
      </c>
      <c r="C1808" s="10" t="s">
        <v>28</v>
      </c>
      <c r="D1808" s="10" t="s">
        <v>200</v>
      </c>
      <c r="E1808" s="10" t="s">
        <v>500</v>
      </c>
      <c r="F1808" s="10" t="s">
        <v>348</v>
      </c>
      <c r="G1808" s="11">
        <v>120.2</v>
      </c>
      <c r="H1808" s="31">
        <v>470.2</v>
      </c>
      <c r="I1808" s="7"/>
      <c r="J1808" s="7">
        <f t="shared" ref="J1808:J1813" si="703">H1808+I1808</f>
        <v>470.2</v>
      </c>
      <c r="K1808" s="7">
        <v>70</v>
      </c>
      <c r="L1808" s="7">
        <f t="shared" ref="L1808:L1813" si="704">J1808+K1808</f>
        <v>540.20000000000005</v>
      </c>
      <c r="M1808" s="7">
        <v>-26</v>
      </c>
      <c r="N1808" s="7">
        <v>514.20000000000005</v>
      </c>
      <c r="O1808" s="7">
        <v>514.20000000000005</v>
      </c>
      <c r="P1808" s="349">
        <v>499</v>
      </c>
      <c r="Q1808" s="257">
        <v>97.04</v>
      </c>
    </row>
    <row r="1809" spans="1:17" s="12" customFormat="1" ht="31.5">
      <c r="A1809" s="8" t="s">
        <v>361</v>
      </c>
      <c r="B1809" s="57">
        <v>921</v>
      </c>
      <c r="C1809" s="10" t="s">
        <v>28</v>
      </c>
      <c r="D1809" s="10" t="s">
        <v>200</v>
      </c>
      <c r="E1809" s="10" t="s">
        <v>500</v>
      </c>
      <c r="F1809" s="10" t="s">
        <v>333</v>
      </c>
      <c r="G1809" s="11">
        <v>656.9</v>
      </c>
      <c r="H1809" s="31">
        <v>1336.9</v>
      </c>
      <c r="I1809" s="7"/>
      <c r="J1809" s="7">
        <f t="shared" si="703"/>
        <v>1336.9</v>
      </c>
      <c r="K1809" s="7">
        <v>-83.5</v>
      </c>
      <c r="L1809" s="7">
        <f t="shared" si="704"/>
        <v>1253.4000000000001</v>
      </c>
      <c r="M1809" s="7">
        <v>-22.7</v>
      </c>
      <c r="N1809" s="7">
        <v>1230.7</v>
      </c>
      <c r="O1809" s="7">
        <v>1230.7</v>
      </c>
      <c r="P1809" s="349">
        <v>1151.5</v>
      </c>
      <c r="Q1809" s="257">
        <v>93.56</v>
      </c>
    </row>
    <row r="1810" spans="1:17" s="12" customFormat="1">
      <c r="A1810" s="8" t="s">
        <v>362</v>
      </c>
      <c r="B1810" s="57">
        <v>921</v>
      </c>
      <c r="C1810" s="10" t="s">
        <v>28</v>
      </c>
      <c r="D1810" s="10" t="s">
        <v>200</v>
      </c>
      <c r="E1810" s="10" t="s">
        <v>500</v>
      </c>
      <c r="F1810" s="10" t="s">
        <v>334</v>
      </c>
      <c r="G1810" s="11">
        <v>-321.3</v>
      </c>
      <c r="H1810" s="31">
        <v>4280.7</v>
      </c>
      <c r="I1810" s="7"/>
      <c r="J1810" s="7">
        <f t="shared" si="703"/>
        <v>4280.7</v>
      </c>
      <c r="K1810" s="7">
        <f>-85+404.5</f>
        <v>319.5</v>
      </c>
      <c r="L1810" s="7">
        <f t="shared" si="704"/>
        <v>4600.2</v>
      </c>
      <c r="M1810" s="7">
        <f>3.5+74+0.1</f>
        <v>77.599999999999994</v>
      </c>
      <c r="N1810" s="7">
        <v>4677.8</v>
      </c>
      <c r="O1810" s="7">
        <v>4677.8</v>
      </c>
      <c r="P1810" s="349">
        <v>4491</v>
      </c>
      <c r="Q1810" s="257">
        <v>96.01</v>
      </c>
    </row>
    <row r="1811" spans="1:17" s="12" customFormat="1" ht="78.75">
      <c r="A1811" s="8" t="s">
        <v>428</v>
      </c>
      <c r="B1811" s="57">
        <v>921</v>
      </c>
      <c r="C1811" s="10" t="s">
        <v>28</v>
      </c>
      <c r="D1811" s="10" t="s">
        <v>200</v>
      </c>
      <c r="E1811" s="10" t="s">
        <v>500</v>
      </c>
      <c r="F1811" s="10" t="s">
        <v>427</v>
      </c>
      <c r="G1811" s="11"/>
      <c r="H1811" s="31"/>
      <c r="I1811" s="7">
        <v>0.2</v>
      </c>
      <c r="J1811" s="7">
        <f t="shared" si="703"/>
        <v>0.2</v>
      </c>
      <c r="K1811" s="7">
        <v>350</v>
      </c>
      <c r="L1811" s="7">
        <f t="shared" si="704"/>
        <v>350.2</v>
      </c>
      <c r="M1811" s="7"/>
      <c r="N1811" s="7">
        <v>350.2</v>
      </c>
      <c r="O1811" s="7">
        <v>350.2</v>
      </c>
      <c r="P1811" s="349">
        <v>350.2</v>
      </c>
      <c r="Q1811" s="257">
        <v>100</v>
      </c>
    </row>
    <row r="1812" spans="1:17" s="12" customFormat="1">
      <c r="A1812" s="8" t="s">
        <v>384</v>
      </c>
      <c r="B1812" s="57">
        <v>921</v>
      </c>
      <c r="C1812" s="10" t="s">
        <v>28</v>
      </c>
      <c r="D1812" s="10" t="s">
        <v>200</v>
      </c>
      <c r="E1812" s="10" t="s">
        <v>500</v>
      </c>
      <c r="F1812" s="10" t="s">
        <v>335</v>
      </c>
      <c r="G1812" s="11">
        <v>0</v>
      </c>
      <c r="H1812" s="31">
        <v>850</v>
      </c>
      <c r="I1812" s="7"/>
      <c r="J1812" s="7">
        <f t="shared" si="703"/>
        <v>850</v>
      </c>
      <c r="K1812" s="7">
        <v>250</v>
      </c>
      <c r="L1812" s="7">
        <f t="shared" si="704"/>
        <v>1100</v>
      </c>
      <c r="M1812" s="7">
        <v>22.7</v>
      </c>
      <c r="N1812" s="7">
        <v>1122.7</v>
      </c>
      <c r="O1812" s="7">
        <v>1122.7</v>
      </c>
      <c r="P1812" s="349">
        <v>1070</v>
      </c>
      <c r="Q1812" s="257">
        <v>95.31</v>
      </c>
    </row>
    <row r="1813" spans="1:17" s="12" customFormat="1">
      <c r="A1813" s="8" t="s">
        <v>380</v>
      </c>
      <c r="B1813" s="57">
        <v>921</v>
      </c>
      <c r="C1813" s="10" t="s">
        <v>28</v>
      </c>
      <c r="D1813" s="10" t="s">
        <v>200</v>
      </c>
      <c r="E1813" s="10" t="s">
        <v>500</v>
      </c>
      <c r="F1813" s="10" t="s">
        <v>336</v>
      </c>
      <c r="G1813" s="11">
        <v>-100</v>
      </c>
      <c r="H1813" s="31">
        <v>52</v>
      </c>
      <c r="I1813" s="7">
        <v>-0.2</v>
      </c>
      <c r="J1813" s="7">
        <f t="shared" si="703"/>
        <v>51.8</v>
      </c>
      <c r="K1813" s="7">
        <f>80-6.3</f>
        <v>73.7</v>
      </c>
      <c r="L1813" s="7">
        <f t="shared" si="704"/>
        <v>125.5</v>
      </c>
      <c r="M1813" s="7">
        <v>-3.6</v>
      </c>
      <c r="N1813" s="7">
        <v>121.9</v>
      </c>
      <c r="O1813" s="7">
        <v>121.9</v>
      </c>
      <c r="P1813" s="349">
        <v>121.9</v>
      </c>
      <c r="Q1813" s="257">
        <v>100</v>
      </c>
    </row>
    <row r="1814" spans="1:17" s="30" customFormat="1">
      <c r="A1814" s="26" t="s">
        <v>8</v>
      </c>
      <c r="B1814" s="73">
        <v>921</v>
      </c>
      <c r="C1814" s="27" t="s">
        <v>9</v>
      </c>
      <c r="D1814" s="27"/>
      <c r="E1814" s="27"/>
      <c r="F1814" s="27"/>
      <c r="G1814" s="28">
        <v>34</v>
      </c>
      <c r="H1814" s="60">
        <v>2985.8</v>
      </c>
      <c r="I1814" s="29">
        <f t="shared" ref="I1814:M1816" si="705">I1815</f>
        <v>0</v>
      </c>
      <c r="J1814" s="29">
        <f t="shared" si="705"/>
        <v>2985.8</v>
      </c>
      <c r="K1814" s="29">
        <f t="shared" si="705"/>
        <v>-2127.4</v>
      </c>
      <c r="L1814" s="29">
        <f t="shared" si="705"/>
        <v>858.4</v>
      </c>
      <c r="M1814" s="29">
        <f t="shared" si="705"/>
        <v>-2.1</v>
      </c>
      <c r="N1814" s="29">
        <v>856.3</v>
      </c>
      <c r="O1814" s="29">
        <v>856.3</v>
      </c>
      <c r="P1814" s="348">
        <v>854.6</v>
      </c>
      <c r="Q1814" s="256">
        <v>99.8</v>
      </c>
    </row>
    <row r="1815" spans="1:17" s="30" customFormat="1" ht="31.5">
      <c r="A1815" s="26" t="s">
        <v>75</v>
      </c>
      <c r="B1815" s="73">
        <v>921</v>
      </c>
      <c r="C1815" s="27" t="s">
        <v>9</v>
      </c>
      <c r="D1815" s="27" t="s">
        <v>31</v>
      </c>
      <c r="E1815" s="27"/>
      <c r="F1815" s="27"/>
      <c r="G1815" s="28">
        <v>34</v>
      </c>
      <c r="H1815" s="60">
        <v>2985.8</v>
      </c>
      <c r="I1815" s="29">
        <f t="shared" si="705"/>
        <v>0</v>
      </c>
      <c r="J1815" s="29">
        <f t="shared" si="705"/>
        <v>2985.8</v>
      </c>
      <c r="K1815" s="29">
        <f t="shared" si="705"/>
        <v>-2127.4</v>
      </c>
      <c r="L1815" s="29">
        <f t="shared" si="705"/>
        <v>858.4</v>
      </c>
      <c r="M1815" s="29">
        <f t="shared" si="705"/>
        <v>-2.1</v>
      </c>
      <c r="N1815" s="29">
        <v>856.3</v>
      </c>
      <c r="O1815" s="29">
        <v>856.3</v>
      </c>
      <c r="P1815" s="348">
        <v>854.6</v>
      </c>
      <c r="Q1815" s="256">
        <v>99.8</v>
      </c>
    </row>
    <row r="1816" spans="1:17" s="12" customFormat="1">
      <c r="A1816" s="8" t="s">
        <v>363</v>
      </c>
      <c r="B1816" s="57">
        <v>921</v>
      </c>
      <c r="C1816" s="10" t="s">
        <v>9</v>
      </c>
      <c r="D1816" s="10" t="s">
        <v>31</v>
      </c>
      <c r="E1816" s="10" t="s">
        <v>364</v>
      </c>
      <c r="F1816" s="10"/>
      <c r="G1816" s="11">
        <v>34</v>
      </c>
      <c r="H1816" s="31">
        <v>2985.8</v>
      </c>
      <c r="I1816" s="7">
        <f t="shared" si="705"/>
        <v>0</v>
      </c>
      <c r="J1816" s="7">
        <f t="shared" si="705"/>
        <v>2985.8</v>
      </c>
      <c r="K1816" s="7">
        <f t="shared" si="705"/>
        <v>-2127.4</v>
      </c>
      <c r="L1816" s="7">
        <f t="shared" si="705"/>
        <v>858.4</v>
      </c>
      <c r="M1816" s="7">
        <f t="shared" si="705"/>
        <v>-2.1</v>
      </c>
      <c r="N1816" s="7">
        <v>856.3</v>
      </c>
      <c r="O1816" s="7">
        <v>856.3</v>
      </c>
      <c r="P1816" s="349">
        <v>854.6</v>
      </c>
      <c r="Q1816" s="257">
        <v>99.8</v>
      </c>
    </row>
    <row r="1817" spans="1:17" s="12" customFormat="1" ht="47.25">
      <c r="A1817" s="8" t="s">
        <v>552</v>
      </c>
      <c r="B1817" s="57">
        <v>921</v>
      </c>
      <c r="C1817" s="10" t="s">
        <v>9</v>
      </c>
      <c r="D1817" s="10" t="s">
        <v>31</v>
      </c>
      <c r="E1817" s="10" t="s">
        <v>500</v>
      </c>
      <c r="F1817" s="10"/>
      <c r="G1817" s="11">
        <v>34</v>
      </c>
      <c r="H1817" s="11">
        <v>2985.8</v>
      </c>
      <c r="I1817" s="7">
        <f t="shared" ref="I1817:M1817" si="706">I1818+I1819+I1820+I1821</f>
        <v>0</v>
      </c>
      <c r="J1817" s="7">
        <f t="shared" si="706"/>
        <v>2985.8</v>
      </c>
      <c r="K1817" s="7">
        <f t="shared" si="706"/>
        <v>-2127.4</v>
      </c>
      <c r="L1817" s="7">
        <f t="shared" si="706"/>
        <v>858.4</v>
      </c>
      <c r="M1817" s="7">
        <f t="shared" si="706"/>
        <v>-2.1</v>
      </c>
      <c r="N1817" s="7">
        <v>856.3</v>
      </c>
      <c r="O1817" s="7">
        <v>856.3</v>
      </c>
      <c r="P1817" s="349">
        <v>854.6</v>
      </c>
      <c r="Q1817" s="257">
        <v>99.8</v>
      </c>
    </row>
    <row r="1818" spans="1:17" s="12" customFormat="1">
      <c r="A1818" s="8" t="s">
        <v>349</v>
      </c>
      <c r="B1818" s="57">
        <v>921</v>
      </c>
      <c r="C1818" s="10" t="s">
        <v>9</v>
      </c>
      <c r="D1818" s="10" t="s">
        <v>31</v>
      </c>
      <c r="E1818" s="10" t="s">
        <v>500</v>
      </c>
      <c r="F1818" s="10" t="s">
        <v>347</v>
      </c>
      <c r="G1818" s="11">
        <v>34</v>
      </c>
      <c r="H1818" s="31">
        <v>2500.9</v>
      </c>
      <c r="I1818" s="7"/>
      <c r="J1818" s="7">
        <f>H1818+I1818</f>
        <v>2500.9</v>
      </c>
      <c r="K1818" s="7">
        <v>-1723.6</v>
      </c>
      <c r="L1818" s="7">
        <f>J1818+K1818</f>
        <v>777.3</v>
      </c>
      <c r="M1818" s="7">
        <v>0.1</v>
      </c>
      <c r="N1818" s="7">
        <v>777.4</v>
      </c>
      <c r="O1818" s="7">
        <v>777.4</v>
      </c>
      <c r="P1818" s="349">
        <v>775.7</v>
      </c>
      <c r="Q1818" s="257">
        <v>99.78</v>
      </c>
    </row>
    <row r="1819" spans="1:17" s="12" customFormat="1">
      <c r="A1819" s="8" t="s">
        <v>356</v>
      </c>
      <c r="B1819" s="57">
        <v>921</v>
      </c>
      <c r="C1819" s="10" t="s">
        <v>9</v>
      </c>
      <c r="D1819" s="10" t="s">
        <v>31</v>
      </c>
      <c r="E1819" s="10" t="s">
        <v>500</v>
      </c>
      <c r="F1819" s="10" t="s">
        <v>348</v>
      </c>
      <c r="G1819" s="11">
        <v>0</v>
      </c>
      <c r="H1819" s="31">
        <v>120</v>
      </c>
      <c r="I1819" s="7"/>
      <c r="J1819" s="7">
        <f>H1819+I1819</f>
        <v>120</v>
      </c>
      <c r="K1819" s="7">
        <v>-115.5</v>
      </c>
      <c r="L1819" s="7">
        <f>J1819+K1819</f>
        <v>4.5</v>
      </c>
      <c r="M1819" s="7"/>
      <c r="N1819" s="7">
        <v>4.5</v>
      </c>
      <c r="O1819" s="7">
        <v>4.5</v>
      </c>
      <c r="P1819" s="349">
        <v>4.5</v>
      </c>
      <c r="Q1819" s="257">
        <v>100</v>
      </c>
    </row>
    <row r="1820" spans="1:17" s="12" customFormat="1" ht="31.5">
      <c r="A1820" s="8" t="s">
        <v>361</v>
      </c>
      <c r="B1820" s="57">
        <v>921</v>
      </c>
      <c r="C1820" s="10" t="s">
        <v>9</v>
      </c>
      <c r="D1820" s="10" t="s">
        <v>31</v>
      </c>
      <c r="E1820" s="10" t="s">
        <v>500</v>
      </c>
      <c r="F1820" s="10" t="s">
        <v>333</v>
      </c>
      <c r="G1820" s="11">
        <v>29.9</v>
      </c>
      <c r="H1820" s="31">
        <v>64.900000000000006</v>
      </c>
      <c r="I1820" s="7"/>
      <c r="J1820" s="7">
        <f>H1820+I1820</f>
        <v>64.900000000000006</v>
      </c>
      <c r="K1820" s="7">
        <v>-63.9</v>
      </c>
      <c r="L1820" s="7">
        <f>J1820+K1820</f>
        <v>1</v>
      </c>
      <c r="M1820" s="7"/>
      <c r="N1820" s="7">
        <v>1</v>
      </c>
      <c r="O1820" s="7">
        <v>1</v>
      </c>
      <c r="P1820" s="349">
        <v>1</v>
      </c>
      <c r="Q1820" s="257">
        <v>100</v>
      </c>
    </row>
    <row r="1821" spans="1:17" s="12" customFormat="1">
      <c r="A1821" s="8" t="s">
        <v>362</v>
      </c>
      <c r="B1821" s="57">
        <v>921</v>
      </c>
      <c r="C1821" s="10" t="s">
        <v>9</v>
      </c>
      <c r="D1821" s="10" t="s">
        <v>31</v>
      </c>
      <c r="E1821" s="10" t="s">
        <v>500</v>
      </c>
      <c r="F1821" s="10" t="s">
        <v>334</v>
      </c>
      <c r="G1821" s="11">
        <v>-29.9</v>
      </c>
      <c r="H1821" s="31">
        <v>300</v>
      </c>
      <c r="I1821" s="7"/>
      <c r="J1821" s="7">
        <f>H1821+I1821</f>
        <v>300</v>
      </c>
      <c r="K1821" s="7">
        <v>-224.4</v>
      </c>
      <c r="L1821" s="7">
        <f>J1821+K1821</f>
        <v>75.599999999999994</v>
      </c>
      <c r="M1821" s="7">
        <f>-2.1-0.1</f>
        <v>-2.2000000000000002</v>
      </c>
      <c r="N1821" s="7">
        <v>73.400000000000006</v>
      </c>
      <c r="O1821" s="7">
        <v>73.400000000000006</v>
      </c>
      <c r="P1821" s="349">
        <v>73.400000000000006</v>
      </c>
      <c r="Q1821" s="257">
        <v>100</v>
      </c>
    </row>
    <row r="1822" spans="1:17" s="30" customFormat="1">
      <c r="A1822" s="408" t="s">
        <v>310</v>
      </c>
      <c r="B1822" s="409"/>
      <c r="C1822" s="409"/>
      <c r="D1822" s="409"/>
      <c r="E1822" s="409"/>
      <c r="F1822" s="409"/>
      <c r="G1822" s="28">
        <v>-19343.400000000001</v>
      </c>
      <c r="H1822" s="28">
        <v>178179.20000000001</v>
      </c>
      <c r="I1822" s="29" t="e">
        <f t="shared" ref="I1822:M1822" si="707">I1823+I1858+I1864</f>
        <v>#REF!</v>
      </c>
      <c r="J1822" s="29">
        <f t="shared" si="707"/>
        <v>195401.4</v>
      </c>
      <c r="K1822" s="29">
        <f t="shared" si="707"/>
        <v>-21.1</v>
      </c>
      <c r="L1822" s="29">
        <f t="shared" si="707"/>
        <v>195380.3</v>
      </c>
      <c r="M1822" s="29">
        <f t="shared" si="707"/>
        <v>1896.8</v>
      </c>
      <c r="N1822" s="29">
        <v>197277.1</v>
      </c>
      <c r="O1822" s="29">
        <v>197277.1</v>
      </c>
      <c r="P1822" s="348">
        <v>194852.9</v>
      </c>
      <c r="Q1822" s="256">
        <v>98.77</v>
      </c>
    </row>
    <row r="1823" spans="1:17" s="30" customFormat="1">
      <c r="A1823" s="26" t="s">
        <v>100</v>
      </c>
      <c r="B1823" s="27" t="s">
        <v>517</v>
      </c>
      <c r="C1823" s="27" t="s">
        <v>11</v>
      </c>
      <c r="D1823" s="27"/>
      <c r="E1823" s="27"/>
      <c r="F1823" s="27"/>
      <c r="G1823" s="28">
        <v>2608.9</v>
      </c>
      <c r="H1823" s="28">
        <v>74303.100000000006</v>
      </c>
      <c r="I1823" s="29">
        <f t="shared" ref="I1823:M1823" si="708">I1824</f>
        <v>12917</v>
      </c>
      <c r="J1823" s="29">
        <f t="shared" si="708"/>
        <v>87220.1</v>
      </c>
      <c r="K1823" s="29">
        <f t="shared" si="708"/>
        <v>622.70000000000005</v>
      </c>
      <c r="L1823" s="29">
        <f t="shared" si="708"/>
        <v>87842.8</v>
      </c>
      <c r="M1823" s="29">
        <f t="shared" si="708"/>
        <v>-106.7</v>
      </c>
      <c r="N1823" s="29">
        <v>87736.1</v>
      </c>
      <c r="O1823" s="29">
        <v>87736.1</v>
      </c>
      <c r="P1823" s="348">
        <v>87648.1</v>
      </c>
      <c r="Q1823" s="256">
        <v>99.9</v>
      </c>
    </row>
    <row r="1824" spans="1:17" s="30" customFormat="1">
      <c r="A1824" s="26" t="s">
        <v>268</v>
      </c>
      <c r="B1824" s="27" t="s">
        <v>517</v>
      </c>
      <c r="C1824" s="27" t="s">
        <v>11</v>
      </c>
      <c r="D1824" s="27" t="s">
        <v>16</v>
      </c>
      <c r="E1824" s="27"/>
      <c r="F1824" s="27"/>
      <c r="G1824" s="28">
        <v>2608.9</v>
      </c>
      <c r="H1824" s="28">
        <v>74303.100000000006</v>
      </c>
      <c r="I1824" s="29">
        <f t="shared" ref="I1824:M1824" si="709">I1825+I1833+I1838+I1841</f>
        <v>12917</v>
      </c>
      <c r="J1824" s="29">
        <f t="shared" si="709"/>
        <v>87220.1</v>
      </c>
      <c r="K1824" s="29">
        <f t="shared" si="709"/>
        <v>622.70000000000005</v>
      </c>
      <c r="L1824" s="29">
        <f t="shared" si="709"/>
        <v>87842.8</v>
      </c>
      <c r="M1824" s="29">
        <f t="shared" si="709"/>
        <v>-106.7</v>
      </c>
      <c r="N1824" s="29">
        <v>87736.1</v>
      </c>
      <c r="O1824" s="29">
        <v>87736.1</v>
      </c>
      <c r="P1824" s="348">
        <v>87648.1</v>
      </c>
      <c r="Q1824" s="256">
        <v>99.9</v>
      </c>
    </row>
    <row r="1825" spans="1:17" s="12" customFormat="1" ht="47.25">
      <c r="A1825" s="8" t="s">
        <v>65</v>
      </c>
      <c r="B1825" s="10" t="s">
        <v>517</v>
      </c>
      <c r="C1825" s="10" t="s">
        <v>11</v>
      </c>
      <c r="D1825" s="10" t="s">
        <v>16</v>
      </c>
      <c r="E1825" s="41" t="s">
        <v>41</v>
      </c>
      <c r="F1825" s="10"/>
      <c r="G1825" s="11">
        <v>821.9</v>
      </c>
      <c r="H1825" s="11">
        <v>11015.4</v>
      </c>
      <c r="I1825" s="7">
        <f t="shared" ref="I1825:M1825" si="710">I1826</f>
        <v>-328.5</v>
      </c>
      <c r="J1825" s="7">
        <f t="shared" si="710"/>
        <v>10686.9</v>
      </c>
      <c r="K1825" s="7">
        <f t="shared" si="710"/>
        <v>-327.7</v>
      </c>
      <c r="L1825" s="7">
        <f t="shared" si="710"/>
        <v>10359.200000000001</v>
      </c>
      <c r="M1825" s="7">
        <f t="shared" si="710"/>
        <v>0</v>
      </c>
      <c r="N1825" s="7">
        <v>10359.200000000001</v>
      </c>
      <c r="O1825" s="7">
        <v>10359.200000000001</v>
      </c>
      <c r="P1825" s="349">
        <v>10359.200000000001</v>
      </c>
      <c r="Q1825" s="257">
        <v>100</v>
      </c>
    </row>
    <row r="1826" spans="1:17" s="12" customFormat="1">
      <c r="A1826" s="8" t="s">
        <v>42</v>
      </c>
      <c r="B1826" s="10" t="s">
        <v>517</v>
      </c>
      <c r="C1826" s="10" t="s">
        <v>11</v>
      </c>
      <c r="D1826" s="10" t="s">
        <v>16</v>
      </c>
      <c r="E1826" s="41" t="s">
        <v>43</v>
      </c>
      <c r="F1826" s="10"/>
      <c r="G1826" s="11">
        <v>821.9</v>
      </c>
      <c r="H1826" s="11">
        <v>11015.4</v>
      </c>
      <c r="I1826" s="7">
        <f t="shared" ref="I1826:M1826" si="711">I1827+I1828+I1829+I1830+I1831+I1832</f>
        <v>-328.5</v>
      </c>
      <c r="J1826" s="7">
        <f t="shared" si="711"/>
        <v>10686.9</v>
      </c>
      <c r="K1826" s="7">
        <f t="shared" si="711"/>
        <v>-327.7</v>
      </c>
      <c r="L1826" s="7">
        <f t="shared" si="711"/>
        <v>10359.200000000001</v>
      </c>
      <c r="M1826" s="7">
        <f t="shared" si="711"/>
        <v>0</v>
      </c>
      <c r="N1826" s="7">
        <v>10359.200000000001</v>
      </c>
      <c r="O1826" s="7">
        <v>10359.200000000001</v>
      </c>
      <c r="P1826" s="349">
        <v>10359.200000000001</v>
      </c>
      <c r="Q1826" s="257">
        <v>100</v>
      </c>
    </row>
    <row r="1827" spans="1:17" s="12" customFormat="1">
      <c r="A1827" s="8" t="s">
        <v>337</v>
      </c>
      <c r="B1827" s="10" t="s">
        <v>517</v>
      </c>
      <c r="C1827" s="10" t="s">
        <v>11</v>
      </c>
      <c r="D1827" s="10" t="s">
        <v>16</v>
      </c>
      <c r="E1827" s="41" t="s">
        <v>43</v>
      </c>
      <c r="F1827" s="10" t="s">
        <v>331</v>
      </c>
      <c r="G1827" s="11">
        <v>877.4</v>
      </c>
      <c r="H1827" s="31">
        <v>8513.4</v>
      </c>
      <c r="I1827" s="7"/>
      <c r="J1827" s="7">
        <f t="shared" ref="J1827:J1832" si="712">H1827+I1827</f>
        <v>8513.4</v>
      </c>
      <c r="K1827" s="7">
        <f>-312+177</f>
        <v>-135</v>
      </c>
      <c r="L1827" s="7">
        <f t="shared" ref="L1827:L1832" si="713">J1827+K1827</f>
        <v>8378.4</v>
      </c>
      <c r="M1827" s="7"/>
      <c r="N1827" s="7">
        <v>8378.4</v>
      </c>
      <c r="O1827" s="7">
        <v>8378.4</v>
      </c>
      <c r="P1827" s="349">
        <v>8378.4</v>
      </c>
      <c r="Q1827" s="257">
        <v>100</v>
      </c>
    </row>
    <row r="1828" spans="1:17" s="12" customFormat="1">
      <c r="A1828" s="8" t="s">
        <v>356</v>
      </c>
      <c r="B1828" s="10" t="s">
        <v>517</v>
      </c>
      <c r="C1828" s="10" t="s">
        <v>11</v>
      </c>
      <c r="D1828" s="10" t="s">
        <v>16</v>
      </c>
      <c r="E1828" s="41" t="s">
        <v>43</v>
      </c>
      <c r="F1828" s="10" t="s">
        <v>332</v>
      </c>
      <c r="G1828" s="11">
        <v>79</v>
      </c>
      <c r="H1828" s="31">
        <v>101</v>
      </c>
      <c r="I1828" s="7"/>
      <c r="J1828" s="7">
        <f t="shared" si="712"/>
        <v>101</v>
      </c>
      <c r="K1828" s="7">
        <v>118.8</v>
      </c>
      <c r="L1828" s="7">
        <f t="shared" si="713"/>
        <v>219.8</v>
      </c>
      <c r="M1828" s="7">
        <v>-64.5</v>
      </c>
      <c r="N1828" s="7">
        <v>155.30000000000001</v>
      </c>
      <c r="O1828" s="7">
        <v>155.30000000000001</v>
      </c>
      <c r="P1828" s="349">
        <v>155.30000000000001</v>
      </c>
      <c r="Q1828" s="257">
        <v>100</v>
      </c>
    </row>
    <row r="1829" spans="1:17" s="12" customFormat="1" ht="31.5">
      <c r="A1829" s="8" t="s">
        <v>361</v>
      </c>
      <c r="B1829" s="10" t="s">
        <v>517</v>
      </c>
      <c r="C1829" s="10" t="s">
        <v>11</v>
      </c>
      <c r="D1829" s="10" t="s">
        <v>16</v>
      </c>
      <c r="E1829" s="41" t="s">
        <v>43</v>
      </c>
      <c r="F1829" s="10" t="s">
        <v>333</v>
      </c>
      <c r="G1829" s="11">
        <v>-160.19999999999999</v>
      </c>
      <c r="H1829" s="31">
        <v>753.7</v>
      </c>
      <c r="I1829" s="7">
        <v>-298.3</v>
      </c>
      <c r="J1829" s="7">
        <f t="shared" si="712"/>
        <v>455.4</v>
      </c>
      <c r="K1829" s="7"/>
      <c r="L1829" s="7">
        <f t="shared" si="713"/>
        <v>455.4</v>
      </c>
      <c r="M1829" s="7"/>
      <c r="N1829" s="7">
        <v>455.4</v>
      </c>
      <c r="O1829" s="7">
        <v>455.4</v>
      </c>
      <c r="P1829" s="349">
        <v>455.4</v>
      </c>
      <c r="Q1829" s="257">
        <v>100</v>
      </c>
    </row>
    <row r="1830" spans="1:17" s="12" customFormat="1">
      <c r="A1830" s="8" t="s">
        <v>362</v>
      </c>
      <c r="B1830" s="10" t="s">
        <v>517</v>
      </c>
      <c r="C1830" s="10" t="s">
        <v>11</v>
      </c>
      <c r="D1830" s="10" t="s">
        <v>16</v>
      </c>
      <c r="E1830" s="41" t="s">
        <v>43</v>
      </c>
      <c r="F1830" s="10" t="s">
        <v>334</v>
      </c>
      <c r="G1830" s="11">
        <v>-0.6</v>
      </c>
      <c r="H1830" s="31">
        <v>1513.1</v>
      </c>
      <c r="I1830" s="7">
        <v>-30.2</v>
      </c>
      <c r="J1830" s="7">
        <f t="shared" si="712"/>
        <v>1482.9</v>
      </c>
      <c r="K1830" s="7">
        <f>-15-263.4-40</f>
        <v>-318.39999999999998</v>
      </c>
      <c r="L1830" s="7">
        <f t="shared" si="713"/>
        <v>1164.5</v>
      </c>
      <c r="M1830" s="7">
        <v>64.5</v>
      </c>
      <c r="N1830" s="7">
        <v>1229</v>
      </c>
      <c r="O1830" s="7">
        <v>1229</v>
      </c>
      <c r="P1830" s="349">
        <v>1229</v>
      </c>
      <c r="Q1830" s="257">
        <v>100</v>
      </c>
    </row>
    <row r="1831" spans="1:17" s="12" customFormat="1">
      <c r="A1831" s="8" t="s">
        <v>384</v>
      </c>
      <c r="B1831" s="10" t="s">
        <v>517</v>
      </c>
      <c r="C1831" s="10" t="s">
        <v>11</v>
      </c>
      <c r="D1831" s="10" t="s">
        <v>16</v>
      </c>
      <c r="E1831" s="41" t="s">
        <v>43</v>
      </c>
      <c r="F1831" s="10" t="s">
        <v>335</v>
      </c>
      <c r="G1831" s="11">
        <v>16.3</v>
      </c>
      <c r="H1831" s="31">
        <v>110.5</v>
      </c>
      <c r="I1831" s="7"/>
      <c r="J1831" s="7">
        <f t="shared" si="712"/>
        <v>110.5</v>
      </c>
      <c r="K1831" s="7">
        <v>-8.1</v>
      </c>
      <c r="L1831" s="7">
        <f t="shared" si="713"/>
        <v>102.4</v>
      </c>
      <c r="M1831" s="7"/>
      <c r="N1831" s="7">
        <v>102.4</v>
      </c>
      <c r="O1831" s="7">
        <v>102.4</v>
      </c>
      <c r="P1831" s="349">
        <v>102.4</v>
      </c>
      <c r="Q1831" s="257">
        <v>100</v>
      </c>
    </row>
    <row r="1832" spans="1:17" s="12" customFormat="1">
      <c r="A1832" s="8" t="s">
        <v>380</v>
      </c>
      <c r="B1832" s="10" t="s">
        <v>517</v>
      </c>
      <c r="C1832" s="10" t="s">
        <v>11</v>
      </c>
      <c r="D1832" s="10" t="s">
        <v>16</v>
      </c>
      <c r="E1832" s="41" t="s">
        <v>43</v>
      </c>
      <c r="F1832" s="10" t="s">
        <v>336</v>
      </c>
      <c r="G1832" s="11">
        <v>10</v>
      </c>
      <c r="H1832" s="31">
        <v>23.7</v>
      </c>
      <c r="I1832" s="7"/>
      <c r="J1832" s="7">
        <f t="shared" si="712"/>
        <v>23.7</v>
      </c>
      <c r="K1832" s="7">
        <v>15</v>
      </c>
      <c r="L1832" s="7">
        <f t="shared" si="713"/>
        <v>38.700000000000003</v>
      </c>
      <c r="M1832" s="7"/>
      <c r="N1832" s="7">
        <v>38.700000000000003</v>
      </c>
      <c r="O1832" s="7">
        <v>38.700000000000003</v>
      </c>
      <c r="P1832" s="349">
        <v>38.700000000000003</v>
      </c>
      <c r="Q1832" s="257">
        <v>100</v>
      </c>
    </row>
    <row r="1833" spans="1:17" s="12" customFormat="1">
      <c r="A1833" s="8" t="s">
        <v>311</v>
      </c>
      <c r="B1833" s="10" t="s">
        <v>517</v>
      </c>
      <c r="C1833" s="10" t="s">
        <v>11</v>
      </c>
      <c r="D1833" s="10" t="s">
        <v>16</v>
      </c>
      <c r="E1833" s="10" t="s">
        <v>312</v>
      </c>
      <c r="F1833" s="10"/>
      <c r="G1833" s="11">
        <v>-61500.7</v>
      </c>
      <c r="H1833" s="11">
        <v>0</v>
      </c>
      <c r="I1833" s="7">
        <f t="shared" ref="I1833:M1833" si="714">I1834</f>
        <v>12917</v>
      </c>
      <c r="J1833" s="7">
        <f t="shared" si="714"/>
        <v>12917</v>
      </c>
      <c r="K1833" s="7">
        <f t="shared" si="714"/>
        <v>485.7</v>
      </c>
      <c r="L1833" s="7">
        <f t="shared" si="714"/>
        <v>13402.7</v>
      </c>
      <c r="M1833" s="7">
        <f t="shared" si="714"/>
        <v>-106.7</v>
      </c>
      <c r="N1833" s="7">
        <v>13296</v>
      </c>
      <c r="O1833" s="7">
        <v>13296</v>
      </c>
      <c r="P1833" s="349">
        <v>13296</v>
      </c>
      <c r="Q1833" s="257">
        <v>100</v>
      </c>
    </row>
    <row r="1834" spans="1:17" s="12" customFormat="1" ht="47.25">
      <c r="A1834" s="33" t="s">
        <v>764</v>
      </c>
      <c r="B1834" s="10" t="s">
        <v>517</v>
      </c>
      <c r="C1834" s="10" t="s">
        <v>11</v>
      </c>
      <c r="D1834" s="10" t="s">
        <v>16</v>
      </c>
      <c r="E1834" s="10" t="s">
        <v>763</v>
      </c>
      <c r="F1834" s="10"/>
      <c r="G1834" s="11"/>
      <c r="H1834" s="11">
        <f>H1836+H1837</f>
        <v>0</v>
      </c>
      <c r="I1834" s="11">
        <f>I1836+I1837</f>
        <v>12917</v>
      </c>
      <c r="J1834" s="11">
        <f>J1836+J1837</f>
        <v>12917</v>
      </c>
      <c r="K1834" s="11">
        <f t="shared" ref="K1834:M1834" si="715">K1836+K1837+K1835</f>
        <v>485.7</v>
      </c>
      <c r="L1834" s="11">
        <f t="shared" si="715"/>
        <v>13402.7</v>
      </c>
      <c r="M1834" s="11">
        <f t="shared" si="715"/>
        <v>-106.7</v>
      </c>
      <c r="N1834" s="11">
        <v>13296</v>
      </c>
      <c r="O1834" s="52">
        <v>13296</v>
      </c>
      <c r="P1834" s="349">
        <v>13296</v>
      </c>
      <c r="Q1834" s="257">
        <v>100</v>
      </c>
    </row>
    <row r="1835" spans="1:17" s="12" customFormat="1">
      <c r="A1835" s="8" t="s">
        <v>337</v>
      </c>
      <c r="B1835" s="10" t="s">
        <v>517</v>
      </c>
      <c r="C1835" s="10" t="s">
        <v>11</v>
      </c>
      <c r="D1835" s="10" t="s">
        <v>16</v>
      </c>
      <c r="E1835" s="10" t="s">
        <v>763</v>
      </c>
      <c r="F1835" s="10" t="s">
        <v>331</v>
      </c>
      <c r="G1835" s="11"/>
      <c r="H1835" s="11"/>
      <c r="I1835" s="11"/>
      <c r="J1835" s="11"/>
      <c r="K1835" s="11">
        <f>12.8+19+9.5+9.5+5.6</f>
        <v>56.4</v>
      </c>
      <c r="L1835" s="11">
        <f>J1835+K1835</f>
        <v>56.4</v>
      </c>
      <c r="M1835" s="11"/>
      <c r="N1835" s="11">
        <v>56.4</v>
      </c>
      <c r="O1835" s="7">
        <v>56.4</v>
      </c>
      <c r="P1835" s="349">
        <v>56.4</v>
      </c>
      <c r="Q1835" s="257">
        <v>100</v>
      </c>
    </row>
    <row r="1836" spans="1:17" s="12" customFormat="1">
      <c r="A1836" s="8" t="s">
        <v>362</v>
      </c>
      <c r="B1836" s="10" t="s">
        <v>517</v>
      </c>
      <c r="C1836" s="10" t="s">
        <v>11</v>
      </c>
      <c r="D1836" s="10" t="s">
        <v>16</v>
      </c>
      <c r="E1836" s="10" t="s">
        <v>763</v>
      </c>
      <c r="F1836" s="10" t="s">
        <v>334</v>
      </c>
      <c r="G1836" s="11"/>
      <c r="H1836" s="11"/>
      <c r="I1836" s="7">
        <f>1214.4+871.5</f>
        <v>2085.9</v>
      </c>
      <c r="J1836" s="7">
        <f>H1836+I1836</f>
        <v>2085.9</v>
      </c>
      <c r="K1836" s="7">
        <f>-12.8-19-9.5-27-17.6-79.4-49.2</f>
        <v>-214.5</v>
      </c>
      <c r="L1836" s="7">
        <f>J1836+K1836</f>
        <v>1871.4</v>
      </c>
      <c r="M1836" s="7">
        <f>-57.4+428.6-138.8-14.2+0.1</f>
        <v>218.3</v>
      </c>
      <c r="N1836" s="7">
        <v>2089.6999999999998</v>
      </c>
      <c r="O1836" s="7">
        <v>2089.6999999999998</v>
      </c>
      <c r="P1836" s="349">
        <v>2089.6999999999998</v>
      </c>
      <c r="Q1836" s="257">
        <v>100</v>
      </c>
    </row>
    <row r="1837" spans="1:17" s="12" customFormat="1" ht="47.25">
      <c r="A1837" s="8" t="s">
        <v>422</v>
      </c>
      <c r="B1837" s="10" t="s">
        <v>517</v>
      </c>
      <c r="C1837" s="10" t="s">
        <v>11</v>
      </c>
      <c r="D1837" s="10" t="s">
        <v>16</v>
      </c>
      <c r="E1837" s="10" t="s">
        <v>763</v>
      </c>
      <c r="F1837" s="10" t="s">
        <v>375</v>
      </c>
      <c r="G1837" s="11"/>
      <c r="H1837" s="11"/>
      <c r="I1837" s="7">
        <f>8874.7+1956.4</f>
        <v>10831.1</v>
      </c>
      <c r="J1837" s="7">
        <f>H1837+I1837</f>
        <v>10831.1</v>
      </c>
      <c r="K1837" s="7">
        <v>643.79999999999995</v>
      </c>
      <c r="L1837" s="7">
        <f>J1837+K1837</f>
        <v>11474.9</v>
      </c>
      <c r="M1837" s="7">
        <f>103.6-428.6</f>
        <v>-325</v>
      </c>
      <c r="N1837" s="7">
        <v>11149.9</v>
      </c>
      <c r="O1837" s="7">
        <v>11149.9</v>
      </c>
      <c r="P1837" s="349">
        <v>11149.9</v>
      </c>
      <c r="Q1837" s="257">
        <v>100</v>
      </c>
    </row>
    <row r="1838" spans="1:17" s="12" customFormat="1">
      <c r="A1838" s="8" t="s">
        <v>17</v>
      </c>
      <c r="B1838" s="10" t="s">
        <v>517</v>
      </c>
      <c r="C1838" s="10" t="s">
        <v>11</v>
      </c>
      <c r="D1838" s="10" t="s">
        <v>16</v>
      </c>
      <c r="E1838" s="10" t="s">
        <v>18</v>
      </c>
      <c r="F1838" s="10"/>
      <c r="G1838" s="11">
        <v>838</v>
      </c>
      <c r="H1838" s="11">
        <v>838</v>
      </c>
      <c r="I1838" s="7">
        <f t="shared" ref="I1838:M1839" si="716">I1839</f>
        <v>68.400000000000006</v>
      </c>
      <c r="J1838" s="7">
        <f t="shared" si="716"/>
        <v>906.4</v>
      </c>
      <c r="K1838" s="7">
        <f t="shared" si="716"/>
        <v>0</v>
      </c>
      <c r="L1838" s="7">
        <f t="shared" si="716"/>
        <v>906.4</v>
      </c>
      <c r="M1838" s="7">
        <f t="shared" si="716"/>
        <v>0</v>
      </c>
      <c r="N1838" s="7">
        <v>906.4</v>
      </c>
      <c r="O1838" s="7">
        <v>906.4</v>
      </c>
      <c r="P1838" s="349">
        <v>906.4</v>
      </c>
      <c r="Q1838" s="257">
        <v>100</v>
      </c>
    </row>
    <row r="1839" spans="1:17" s="12" customFormat="1" ht="31.5">
      <c r="A1839" s="8" t="s">
        <v>571</v>
      </c>
      <c r="B1839" s="10" t="s">
        <v>517</v>
      </c>
      <c r="C1839" s="10" t="s">
        <v>11</v>
      </c>
      <c r="D1839" s="10" t="s">
        <v>16</v>
      </c>
      <c r="E1839" s="10" t="s">
        <v>572</v>
      </c>
      <c r="F1839" s="10"/>
      <c r="G1839" s="11">
        <v>838</v>
      </c>
      <c r="H1839" s="11">
        <v>838</v>
      </c>
      <c r="I1839" s="7">
        <f t="shared" si="716"/>
        <v>68.400000000000006</v>
      </c>
      <c r="J1839" s="7">
        <f t="shared" si="716"/>
        <v>906.4</v>
      </c>
      <c r="K1839" s="7">
        <f t="shared" si="716"/>
        <v>0</v>
      </c>
      <c r="L1839" s="7">
        <f t="shared" si="716"/>
        <v>906.4</v>
      </c>
      <c r="M1839" s="7">
        <f t="shared" si="716"/>
        <v>0</v>
      </c>
      <c r="N1839" s="7">
        <v>906.4</v>
      </c>
      <c r="O1839" s="7">
        <v>906.4</v>
      </c>
      <c r="P1839" s="349">
        <v>906.4</v>
      </c>
      <c r="Q1839" s="257">
        <v>100</v>
      </c>
    </row>
    <row r="1840" spans="1:17" s="12" customFormat="1" ht="47.25">
      <c r="A1840" s="8" t="s">
        <v>422</v>
      </c>
      <c r="B1840" s="10" t="s">
        <v>517</v>
      </c>
      <c r="C1840" s="10" t="s">
        <v>11</v>
      </c>
      <c r="D1840" s="10" t="s">
        <v>16</v>
      </c>
      <c r="E1840" s="10" t="s">
        <v>572</v>
      </c>
      <c r="F1840" s="10" t="s">
        <v>375</v>
      </c>
      <c r="G1840" s="11">
        <v>838</v>
      </c>
      <c r="H1840" s="31">
        <v>838</v>
      </c>
      <c r="I1840" s="7">
        <v>68.400000000000006</v>
      </c>
      <c r="J1840" s="7">
        <f>H1840+I1840</f>
        <v>906.4</v>
      </c>
      <c r="K1840" s="7"/>
      <c r="L1840" s="7">
        <f>J1840+K1840</f>
        <v>906.4</v>
      </c>
      <c r="M1840" s="7"/>
      <c r="N1840" s="7">
        <v>906.4</v>
      </c>
      <c r="O1840" s="7">
        <v>906.4</v>
      </c>
      <c r="P1840" s="349">
        <v>906.4</v>
      </c>
      <c r="Q1840" s="257">
        <v>100</v>
      </c>
    </row>
    <row r="1841" spans="1:17" s="12" customFormat="1">
      <c r="A1841" s="8" t="s">
        <v>363</v>
      </c>
      <c r="B1841" s="10" t="s">
        <v>517</v>
      </c>
      <c r="C1841" s="10" t="s">
        <v>11</v>
      </c>
      <c r="D1841" s="10" t="s">
        <v>16</v>
      </c>
      <c r="E1841" s="10" t="s">
        <v>364</v>
      </c>
      <c r="F1841" s="10"/>
      <c r="G1841" s="11">
        <v>62449.7</v>
      </c>
      <c r="H1841" s="11">
        <v>62449.7</v>
      </c>
      <c r="I1841" s="7">
        <f t="shared" ref="I1841:M1841" si="717">I1842</f>
        <v>260.10000000000002</v>
      </c>
      <c r="J1841" s="7">
        <f t="shared" si="717"/>
        <v>62709.8</v>
      </c>
      <c r="K1841" s="7">
        <f t="shared" si="717"/>
        <v>464.7</v>
      </c>
      <c r="L1841" s="7">
        <f t="shared" si="717"/>
        <v>63174.5</v>
      </c>
      <c r="M1841" s="7">
        <f t="shared" si="717"/>
        <v>0</v>
      </c>
      <c r="N1841" s="7">
        <v>63174.5</v>
      </c>
      <c r="O1841" s="7">
        <v>63174.5</v>
      </c>
      <c r="P1841" s="349">
        <v>63086.5</v>
      </c>
      <c r="Q1841" s="257">
        <v>99.86</v>
      </c>
    </row>
    <row r="1842" spans="1:17" s="12" customFormat="1" ht="31.5">
      <c r="A1842" s="8" t="s">
        <v>573</v>
      </c>
      <c r="B1842" s="10" t="s">
        <v>517</v>
      </c>
      <c r="C1842" s="10" t="s">
        <v>11</v>
      </c>
      <c r="D1842" s="10" t="s">
        <v>16</v>
      </c>
      <c r="E1842" s="10" t="s">
        <v>574</v>
      </c>
      <c r="F1842" s="10"/>
      <c r="G1842" s="11">
        <v>62449.7</v>
      </c>
      <c r="H1842" s="11">
        <v>62449.7</v>
      </c>
      <c r="I1842" s="7">
        <f t="shared" ref="I1842:M1842" si="718">I1843+I1851</f>
        <v>260.10000000000002</v>
      </c>
      <c r="J1842" s="7">
        <f t="shared" si="718"/>
        <v>62709.8</v>
      </c>
      <c r="K1842" s="7">
        <f t="shared" si="718"/>
        <v>464.7</v>
      </c>
      <c r="L1842" s="7">
        <f t="shared" si="718"/>
        <v>63174.5</v>
      </c>
      <c r="M1842" s="7">
        <f t="shared" si="718"/>
        <v>0</v>
      </c>
      <c r="N1842" s="7">
        <v>63174.5</v>
      </c>
      <c r="O1842" s="7">
        <v>63174.5</v>
      </c>
      <c r="P1842" s="349">
        <v>63086.5</v>
      </c>
      <c r="Q1842" s="257">
        <v>99.86</v>
      </c>
    </row>
    <row r="1843" spans="1:17" s="12" customFormat="1">
      <c r="A1843" s="8" t="s">
        <v>575</v>
      </c>
      <c r="B1843" s="10" t="s">
        <v>517</v>
      </c>
      <c r="C1843" s="10" t="s">
        <v>11</v>
      </c>
      <c r="D1843" s="10" t="s">
        <v>16</v>
      </c>
      <c r="E1843" s="10" t="s">
        <v>576</v>
      </c>
      <c r="F1843" s="10"/>
      <c r="G1843" s="11">
        <v>42842.1</v>
      </c>
      <c r="H1843" s="11">
        <v>42842.1</v>
      </c>
      <c r="I1843" s="7">
        <f t="shared" ref="I1843:M1843" si="719">I1844+I1845+I1846+I1847+I1849+I1850+I1848</f>
        <v>328.5</v>
      </c>
      <c r="J1843" s="7">
        <f t="shared" si="719"/>
        <v>43170.6</v>
      </c>
      <c r="K1843" s="7">
        <f t="shared" si="719"/>
        <v>464.7</v>
      </c>
      <c r="L1843" s="7">
        <f t="shared" si="719"/>
        <v>43635.3</v>
      </c>
      <c r="M1843" s="7">
        <f t="shared" si="719"/>
        <v>0</v>
      </c>
      <c r="N1843" s="7">
        <v>43635.3</v>
      </c>
      <c r="O1843" s="7">
        <v>43635.3</v>
      </c>
      <c r="P1843" s="349">
        <v>43547.3</v>
      </c>
      <c r="Q1843" s="257">
        <v>99.8</v>
      </c>
    </row>
    <row r="1844" spans="1:17" s="12" customFormat="1">
      <c r="A1844" s="8" t="s">
        <v>337</v>
      </c>
      <c r="B1844" s="10" t="s">
        <v>517</v>
      </c>
      <c r="C1844" s="10" t="s">
        <v>11</v>
      </c>
      <c r="D1844" s="10" t="s">
        <v>16</v>
      </c>
      <c r="E1844" s="10" t="s">
        <v>576</v>
      </c>
      <c r="F1844" s="10" t="s">
        <v>347</v>
      </c>
      <c r="G1844" s="11">
        <v>32442</v>
      </c>
      <c r="H1844" s="31">
        <v>32442</v>
      </c>
      <c r="I1844" s="7">
        <v>-3442</v>
      </c>
      <c r="J1844" s="7">
        <f t="shared" ref="J1844:J1850" si="720">H1844+I1844</f>
        <v>29000</v>
      </c>
      <c r="K1844" s="7"/>
      <c r="L1844" s="7">
        <f t="shared" ref="L1844:L1850" si="721">J1844+K1844</f>
        <v>29000</v>
      </c>
      <c r="M1844" s="7">
        <v>639</v>
      </c>
      <c r="N1844" s="7">
        <v>29639</v>
      </c>
      <c r="O1844" s="7">
        <v>29639</v>
      </c>
      <c r="P1844" s="349">
        <v>29567.599999999999</v>
      </c>
      <c r="Q1844" s="257">
        <v>99.76</v>
      </c>
    </row>
    <row r="1845" spans="1:17" s="12" customFormat="1">
      <c r="A1845" s="8" t="s">
        <v>356</v>
      </c>
      <c r="B1845" s="10" t="s">
        <v>517</v>
      </c>
      <c r="C1845" s="10" t="s">
        <v>11</v>
      </c>
      <c r="D1845" s="10" t="s">
        <v>16</v>
      </c>
      <c r="E1845" s="10" t="s">
        <v>576</v>
      </c>
      <c r="F1845" s="10" t="s">
        <v>348</v>
      </c>
      <c r="G1845" s="11">
        <v>130</v>
      </c>
      <c r="H1845" s="31">
        <v>130</v>
      </c>
      <c r="I1845" s="7">
        <v>-82.2</v>
      </c>
      <c r="J1845" s="7">
        <f t="shared" si="720"/>
        <v>47.8</v>
      </c>
      <c r="K1845" s="7">
        <f>20+15</f>
        <v>35</v>
      </c>
      <c r="L1845" s="7">
        <f t="shared" si="721"/>
        <v>82.8</v>
      </c>
      <c r="M1845" s="7">
        <v>23</v>
      </c>
      <c r="N1845" s="7">
        <v>105.8</v>
      </c>
      <c r="O1845" s="7">
        <v>105.8</v>
      </c>
      <c r="P1845" s="349">
        <v>105.8</v>
      </c>
      <c r="Q1845" s="257">
        <v>100</v>
      </c>
    </row>
    <row r="1846" spans="1:17" s="12" customFormat="1" ht="31.5">
      <c r="A1846" s="8" t="s">
        <v>361</v>
      </c>
      <c r="B1846" s="10" t="s">
        <v>517</v>
      </c>
      <c r="C1846" s="10" t="s">
        <v>11</v>
      </c>
      <c r="D1846" s="10" t="s">
        <v>16</v>
      </c>
      <c r="E1846" s="10" t="s">
        <v>576</v>
      </c>
      <c r="F1846" s="10" t="s">
        <v>333</v>
      </c>
      <c r="G1846" s="11">
        <v>4121.5</v>
      </c>
      <c r="H1846" s="31">
        <v>4121.5</v>
      </c>
      <c r="I1846" s="7">
        <v>-2966.6</v>
      </c>
      <c r="J1846" s="7">
        <f t="shared" si="720"/>
        <v>1154.9000000000001</v>
      </c>
      <c r="K1846" s="7"/>
      <c r="L1846" s="7">
        <f t="shared" si="721"/>
        <v>1154.9000000000001</v>
      </c>
      <c r="M1846" s="7"/>
      <c r="N1846" s="7">
        <v>1154.9000000000001</v>
      </c>
      <c r="O1846" s="7">
        <v>1154.9000000000001</v>
      </c>
      <c r="P1846" s="349">
        <v>1154.9000000000001</v>
      </c>
      <c r="Q1846" s="257">
        <v>100</v>
      </c>
    </row>
    <row r="1847" spans="1:17" s="12" customFormat="1">
      <c r="A1847" s="8" t="s">
        <v>362</v>
      </c>
      <c r="B1847" s="10" t="s">
        <v>517</v>
      </c>
      <c r="C1847" s="10" t="s">
        <v>11</v>
      </c>
      <c r="D1847" s="10" t="s">
        <v>16</v>
      </c>
      <c r="E1847" s="10" t="s">
        <v>576</v>
      </c>
      <c r="F1847" s="10" t="s">
        <v>334</v>
      </c>
      <c r="G1847" s="11">
        <v>5873.3</v>
      </c>
      <c r="H1847" s="31">
        <v>5873.3</v>
      </c>
      <c r="I1847" s="7">
        <v>-2197.1</v>
      </c>
      <c r="J1847" s="7">
        <f t="shared" si="720"/>
        <v>3676.2</v>
      </c>
      <c r="K1847" s="7">
        <f>-20-15</f>
        <v>-35</v>
      </c>
      <c r="L1847" s="7">
        <f t="shared" si="721"/>
        <v>3641.2</v>
      </c>
      <c r="M1847" s="7">
        <v>18</v>
      </c>
      <c r="N1847" s="7">
        <v>3659.2</v>
      </c>
      <c r="O1847" s="7">
        <v>3659.2</v>
      </c>
      <c r="P1847" s="349">
        <v>3659.2</v>
      </c>
      <c r="Q1847" s="257">
        <v>100</v>
      </c>
    </row>
    <row r="1848" spans="1:17" s="12" customFormat="1" ht="47.25">
      <c r="A1848" s="8" t="s">
        <v>366</v>
      </c>
      <c r="B1848" s="10" t="s">
        <v>517</v>
      </c>
      <c r="C1848" s="10" t="s">
        <v>11</v>
      </c>
      <c r="D1848" s="10" t="s">
        <v>16</v>
      </c>
      <c r="E1848" s="10" t="s">
        <v>576</v>
      </c>
      <c r="F1848" s="10" t="s">
        <v>355</v>
      </c>
      <c r="G1848" s="11"/>
      <c r="H1848" s="31"/>
      <c r="I1848" s="7">
        <v>9064.4</v>
      </c>
      <c r="J1848" s="7">
        <f t="shared" si="720"/>
        <v>9064.4</v>
      </c>
      <c r="K1848" s="7">
        <v>464.7</v>
      </c>
      <c r="L1848" s="7">
        <f t="shared" si="721"/>
        <v>9529.1</v>
      </c>
      <c r="M1848" s="7">
        <v>-639</v>
      </c>
      <c r="N1848" s="7">
        <v>8890.1</v>
      </c>
      <c r="O1848" s="7">
        <v>8890.1</v>
      </c>
      <c r="P1848" s="349">
        <v>8873.5</v>
      </c>
      <c r="Q1848" s="257">
        <v>99.81</v>
      </c>
    </row>
    <row r="1849" spans="1:17" s="12" customFormat="1">
      <c r="A1849" s="8" t="s">
        <v>384</v>
      </c>
      <c r="B1849" s="10" t="s">
        <v>517</v>
      </c>
      <c r="C1849" s="10" t="s">
        <v>11</v>
      </c>
      <c r="D1849" s="10" t="s">
        <v>16</v>
      </c>
      <c r="E1849" s="10" t="s">
        <v>576</v>
      </c>
      <c r="F1849" s="10" t="s">
        <v>335</v>
      </c>
      <c r="G1849" s="11">
        <v>128.80000000000001</v>
      </c>
      <c r="H1849" s="31">
        <v>128.80000000000001</v>
      </c>
      <c r="I1849" s="7"/>
      <c r="J1849" s="7">
        <f t="shared" si="720"/>
        <v>128.80000000000001</v>
      </c>
      <c r="K1849" s="7"/>
      <c r="L1849" s="7">
        <f t="shared" si="721"/>
        <v>128.80000000000001</v>
      </c>
      <c r="M1849" s="7">
        <v>-25.5</v>
      </c>
      <c r="N1849" s="7">
        <v>103.3</v>
      </c>
      <c r="O1849" s="7">
        <v>103.3</v>
      </c>
      <c r="P1849" s="349">
        <v>103.3</v>
      </c>
      <c r="Q1849" s="257">
        <v>100</v>
      </c>
    </row>
    <row r="1850" spans="1:17" s="12" customFormat="1">
      <c r="A1850" s="8" t="s">
        <v>380</v>
      </c>
      <c r="B1850" s="10" t="s">
        <v>517</v>
      </c>
      <c r="C1850" s="10" t="s">
        <v>11</v>
      </c>
      <c r="D1850" s="10" t="s">
        <v>16</v>
      </c>
      <c r="E1850" s="10" t="s">
        <v>576</v>
      </c>
      <c r="F1850" s="10" t="s">
        <v>336</v>
      </c>
      <c r="G1850" s="11">
        <v>146.5</v>
      </c>
      <c r="H1850" s="31">
        <v>146.5</v>
      </c>
      <c r="I1850" s="7">
        <v>-48</v>
      </c>
      <c r="J1850" s="7">
        <f t="shared" si="720"/>
        <v>98.5</v>
      </c>
      <c r="K1850" s="7"/>
      <c r="L1850" s="7">
        <f t="shared" si="721"/>
        <v>98.5</v>
      </c>
      <c r="M1850" s="7">
        <v>-15.5</v>
      </c>
      <c r="N1850" s="7">
        <v>83</v>
      </c>
      <c r="O1850" s="7">
        <v>83</v>
      </c>
      <c r="P1850" s="349">
        <v>83</v>
      </c>
      <c r="Q1850" s="257">
        <v>100</v>
      </c>
    </row>
    <row r="1851" spans="1:17" s="12" customFormat="1" ht="31.5">
      <c r="A1851" s="8" t="s">
        <v>577</v>
      </c>
      <c r="B1851" s="10" t="s">
        <v>517</v>
      </c>
      <c r="C1851" s="10" t="s">
        <v>11</v>
      </c>
      <c r="D1851" s="10" t="s">
        <v>16</v>
      </c>
      <c r="E1851" s="10" t="s">
        <v>578</v>
      </c>
      <c r="F1851" s="10"/>
      <c r="G1851" s="11">
        <v>19607.599999999999</v>
      </c>
      <c r="H1851" s="11">
        <v>19607.599999999999</v>
      </c>
      <c r="I1851" s="7">
        <f t="shared" ref="I1851:M1851" si="722">I1852+I1855+I1857+I1856</f>
        <v>-68.400000000000006</v>
      </c>
      <c r="J1851" s="7">
        <f t="shared" si="722"/>
        <v>19539.2</v>
      </c>
      <c r="K1851" s="7">
        <f t="shared" si="722"/>
        <v>0</v>
      </c>
      <c r="L1851" s="7">
        <f t="shared" si="722"/>
        <v>19539.2</v>
      </c>
      <c r="M1851" s="7">
        <f t="shared" si="722"/>
        <v>0</v>
      </c>
      <c r="N1851" s="7">
        <v>19539.2</v>
      </c>
      <c r="O1851" s="7">
        <v>19539.2</v>
      </c>
      <c r="P1851" s="349">
        <v>19539.2</v>
      </c>
      <c r="Q1851" s="257">
        <v>100</v>
      </c>
    </row>
    <row r="1852" spans="1:17" s="12" customFormat="1">
      <c r="A1852" s="8" t="s">
        <v>362</v>
      </c>
      <c r="B1852" s="10" t="s">
        <v>517</v>
      </c>
      <c r="C1852" s="10" t="s">
        <v>11</v>
      </c>
      <c r="D1852" s="10" t="s">
        <v>16</v>
      </c>
      <c r="E1852" s="10" t="s">
        <v>578</v>
      </c>
      <c r="F1852" s="10" t="s">
        <v>334</v>
      </c>
      <c r="G1852" s="11">
        <v>9595.5</v>
      </c>
      <c r="H1852" s="31">
        <v>9595.5</v>
      </c>
      <c r="I1852" s="7">
        <f>-68.4-121.1</f>
        <v>-189.5</v>
      </c>
      <c r="J1852" s="7">
        <f>H1852+I1852</f>
        <v>9406</v>
      </c>
      <c r="K1852" s="7">
        <v>-2161.8000000000002</v>
      </c>
      <c r="L1852" s="7">
        <f>J1852+K1852</f>
        <v>7244.2</v>
      </c>
      <c r="M1852" s="7"/>
      <c r="N1852" s="7">
        <v>7244.2</v>
      </c>
      <c r="O1852" s="7">
        <v>7244.2</v>
      </c>
      <c r="P1852" s="349">
        <v>7244.2</v>
      </c>
      <c r="Q1852" s="257">
        <v>100</v>
      </c>
    </row>
    <row r="1853" spans="1:17" s="12" customFormat="1" ht="47.25">
      <c r="A1853" s="58" t="s">
        <v>579</v>
      </c>
      <c r="B1853" s="10" t="s">
        <v>517</v>
      </c>
      <c r="C1853" s="10" t="s">
        <v>11</v>
      </c>
      <c r="D1853" s="10" t="s">
        <v>16</v>
      </c>
      <c r="E1853" s="10" t="s">
        <v>578</v>
      </c>
      <c r="F1853" s="10"/>
      <c r="G1853" s="11">
        <v>607</v>
      </c>
      <c r="H1853" s="31">
        <v>607</v>
      </c>
      <c r="I1853" s="7">
        <f t="shared" ref="I1853:M1853" si="723">I1854</f>
        <v>0.6</v>
      </c>
      <c r="J1853" s="7">
        <f t="shared" si="723"/>
        <v>607.6</v>
      </c>
      <c r="K1853" s="7">
        <f t="shared" si="723"/>
        <v>0</v>
      </c>
      <c r="L1853" s="7">
        <f t="shared" si="723"/>
        <v>607.6</v>
      </c>
      <c r="M1853" s="7">
        <f t="shared" si="723"/>
        <v>0</v>
      </c>
      <c r="N1853" s="7">
        <v>607.6</v>
      </c>
      <c r="O1853" s="7">
        <v>607.6</v>
      </c>
      <c r="P1853" s="349">
        <v>607.6</v>
      </c>
      <c r="Q1853" s="257">
        <v>100</v>
      </c>
    </row>
    <row r="1854" spans="1:17" s="12" customFormat="1" ht="31.5">
      <c r="A1854" s="58" t="s">
        <v>362</v>
      </c>
      <c r="B1854" s="10" t="s">
        <v>517</v>
      </c>
      <c r="C1854" s="10" t="s">
        <v>11</v>
      </c>
      <c r="D1854" s="10" t="s">
        <v>16</v>
      </c>
      <c r="E1854" s="10" t="s">
        <v>578</v>
      </c>
      <c r="F1854" s="10" t="s">
        <v>334</v>
      </c>
      <c r="G1854" s="11">
        <v>607</v>
      </c>
      <c r="H1854" s="31">
        <v>607</v>
      </c>
      <c r="I1854" s="7">
        <v>0.6</v>
      </c>
      <c r="J1854" s="7">
        <f>H1854+I1854</f>
        <v>607.6</v>
      </c>
      <c r="K1854" s="7"/>
      <c r="L1854" s="7">
        <f>J1854+K1854</f>
        <v>607.6</v>
      </c>
      <c r="M1854" s="7"/>
      <c r="N1854" s="7">
        <v>607.6</v>
      </c>
      <c r="O1854" s="7">
        <v>607.6</v>
      </c>
      <c r="P1854" s="349">
        <v>607.6</v>
      </c>
      <c r="Q1854" s="257">
        <v>100</v>
      </c>
    </row>
    <row r="1855" spans="1:17" s="12" customFormat="1">
      <c r="A1855" s="8" t="s">
        <v>580</v>
      </c>
      <c r="B1855" s="10" t="s">
        <v>517</v>
      </c>
      <c r="C1855" s="10" t="s">
        <v>11</v>
      </c>
      <c r="D1855" s="10" t="s">
        <v>16</v>
      </c>
      <c r="E1855" s="10" t="s">
        <v>578</v>
      </c>
      <c r="F1855" s="10" t="s">
        <v>581</v>
      </c>
      <c r="G1855" s="11">
        <v>6873.8</v>
      </c>
      <c r="H1855" s="31">
        <v>6873.8</v>
      </c>
      <c r="I1855" s="7"/>
      <c r="J1855" s="7">
        <f>H1855+I1855</f>
        <v>6873.8</v>
      </c>
      <c r="K1855" s="7"/>
      <c r="L1855" s="7">
        <f>J1855+K1855</f>
        <v>6873.8</v>
      </c>
      <c r="M1855" s="7"/>
      <c r="N1855" s="7">
        <v>6873.8</v>
      </c>
      <c r="O1855" s="7">
        <v>6873.8</v>
      </c>
      <c r="P1855" s="349">
        <v>6873.8</v>
      </c>
      <c r="Q1855" s="257">
        <v>100</v>
      </c>
    </row>
    <row r="1856" spans="1:17" s="12" customFormat="1" ht="47.25">
      <c r="A1856" s="8" t="s">
        <v>366</v>
      </c>
      <c r="B1856" s="10" t="s">
        <v>517</v>
      </c>
      <c r="C1856" s="10" t="s">
        <v>11</v>
      </c>
      <c r="D1856" s="10" t="s">
        <v>16</v>
      </c>
      <c r="E1856" s="10" t="s">
        <v>578</v>
      </c>
      <c r="F1856" s="10" t="s">
        <v>355</v>
      </c>
      <c r="G1856" s="11"/>
      <c r="H1856" s="31"/>
      <c r="I1856" s="7">
        <v>121.1</v>
      </c>
      <c r="J1856" s="7">
        <f>H1856+I1856</f>
        <v>121.1</v>
      </c>
      <c r="K1856" s="7">
        <v>2161.8000000000002</v>
      </c>
      <c r="L1856" s="7">
        <f>J1856+K1856</f>
        <v>2282.9</v>
      </c>
      <c r="M1856" s="7"/>
      <c r="N1856" s="7">
        <v>2282.9</v>
      </c>
      <c r="O1856" s="7">
        <v>2282.9</v>
      </c>
      <c r="P1856" s="349">
        <v>2282.9</v>
      </c>
      <c r="Q1856" s="257">
        <v>100</v>
      </c>
    </row>
    <row r="1857" spans="1:17" s="12" customFormat="1" ht="47.25">
      <c r="A1857" s="8" t="s">
        <v>422</v>
      </c>
      <c r="B1857" s="10" t="s">
        <v>517</v>
      </c>
      <c r="C1857" s="10" t="s">
        <v>11</v>
      </c>
      <c r="D1857" s="10" t="s">
        <v>16</v>
      </c>
      <c r="E1857" s="10" t="s">
        <v>578</v>
      </c>
      <c r="F1857" s="10" t="s">
        <v>375</v>
      </c>
      <c r="G1857" s="11">
        <v>3138.3</v>
      </c>
      <c r="H1857" s="31">
        <v>3138.3</v>
      </c>
      <c r="I1857" s="7"/>
      <c r="J1857" s="7">
        <f>H1857+I1857</f>
        <v>3138.3</v>
      </c>
      <c r="K1857" s="7"/>
      <c r="L1857" s="7">
        <f>J1857+K1857</f>
        <v>3138.3</v>
      </c>
      <c r="M1857" s="7"/>
      <c r="N1857" s="7">
        <v>3138.3</v>
      </c>
      <c r="O1857" s="7">
        <v>3138.3</v>
      </c>
      <c r="P1857" s="349">
        <v>3138.3</v>
      </c>
      <c r="Q1857" s="257">
        <v>100</v>
      </c>
    </row>
    <row r="1858" spans="1:17" s="30" customFormat="1">
      <c r="A1858" s="26" t="s">
        <v>45</v>
      </c>
      <c r="B1858" s="27" t="s">
        <v>517</v>
      </c>
      <c r="C1858" s="27" t="s">
        <v>140</v>
      </c>
      <c r="D1858" s="27"/>
      <c r="E1858" s="27"/>
      <c r="F1858" s="27"/>
      <c r="G1858" s="28">
        <v>-34249.4</v>
      </c>
      <c r="H1858" s="28">
        <v>91579</v>
      </c>
      <c r="I1858" s="29" t="e">
        <f t="shared" ref="I1858:M1859" si="724">I1859</f>
        <v>#REF!</v>
      </c>
      <c r="J1858" s="29">
        <f t="shared" si="724"/>
        <v>91579</v>
      </c>
      <c r="K1858" s="29">
        <f t="shared" si="724"/>
        <v>0</v>
      </c>
      <c r="L1858" s="29">
        <f t="shared" si="724"/>
        <v>91579</v>
      </c>
      <c r="M1858" s="29">
        <f t="shared" si="724"/>
        <v>2665.8</v>
      </c>
      <c r="N1858" s="29">
        <v>94244.800000000003</v>
      </c>
      <c r="O1858" s="29">
        <v>94244.800000000003</v>
      </c>
      <c r="P1858" s="348">
        <v>91999</v>
      </c>
      <c r="Q1858" s="256">
        <v>97.62</v>
      </c>
    </row>
    <row r="1859" spans="1:17" s="30" customFormat="1">
      <c r="A1859" s="26" t="s">
        <v>46</v>
      </c>
      <c r="B1859" s="27" t="s">
        <v>517</v>
      </c>
      <c r="C1859" s="27" t="s">
        <v>140</v>
      </c>
      <c r="D1859" s="27" t="s">
        <v>28</v>
      </c>
      <c r="E1859" s="27"/>
      <c r="F1859" s="27"/>
      <c r="G1859" s="28">
        <v>-34249.4</v>
      </c>
      <c r="H1859" s="28">
        <v>91579</v>
      </c>
      <c r="I1859" s="29" t="e">
        <f t="shared" si="724"/>
        <v>#REF!</v>
      </c>
      <c r="J1859" s="29">
        <f t="shared" si="724"/>
        <v>91579</v>
      </c>
      <c r="K1859" s="29">
        <f t="shared" si="724"/>
        <v>0</v>
      </c>
      <c r="L1859" s="29">
        <f t="shared" si="724"/>
        <v>91579</v>
      </c>
      <c r="M1859" s="29">
        <f t="shared" si="724"/>
        <v>2665.8</v>
      </c>
      <c r="N1859" s="29">
        <v>94244.800000000003</v>
      </c>
      <c r="O1859" s="29">
        <v>94244.800000000003</v>
      </c>
      <c r="P1859" s="348">
        <v>91999</v>
      </c>
      <c r="Q1859" s="256">
        <v>97.62</v>
      </c>
    </row>
    <row r="1860" spans="1:17" s="12" customFormat="1">
      <c r="A1860" s="8" t="s">
        <v>311</v>
      </c>
      <c r="B1860" s="10" t="s">
        <v>517</v>
      </c>
      <c r="C1860" s="10" t="s">
        <v>140</v>
      </c>
      <c r="D1860" s="10" t="s">
        <v>28</v>
      </c>
      <c r="E1860" s="86" t="s">
        <v>312</v>
      </c>
      <c r="F1860" s="10"/>
      <c r="G1860" s="11">
        <v>-34249.4</v>
      </c>
      <c r="H1860" s="11">
        <v>91579</v>
      </c>
      <c r="I1860" s="7" t="e">
        <f>#REF!+I1861</f>
        <v>#REF!</v>
      </c>
      <c r="J1860" s="7">
        <f>J1861</f>
        <v>91579</v>
      </c>
      <c r="K1860" s="7">
        <f>K1861</f>
        <v>0</v>
      </c>
      <c r="L1860" s="7">
        <f>L1861</f>
        <v>91579</v>
      </c>
      <c r="M1860" s="7">
        <f>M1861</f>
        <v>2665.8</v>
      </c>
      <c r="N1860" s="7">
        <v>94244.800000000003</v>
      </c>
      <c r="O1860" s="7">
        <v>94244.800000000003</v>
      </c>
      <c r="P1860" s="349">
        <v>91999</v>
      </c>
      <c r="Q1860" s="257">
        <v>97.62</v>
      </c>
    </row>
    <row r="1861" spans="1:17" s="12" customFormat="1">
      <c r="A1861" s="8" t="s">
        <v>631</v>
      </c>
      <c r="B1861" s="10" t="s">
        <v>517</v>
      </c>
      <c r="C1861" s="10" t="s">
        <v>140</v>
      </c>
      <c r="D1861" s="10" t="s">
        <v>28</v>
      </c>
      <c r="E1861" s="10" t="s">
        <v>632</v>
      </c>
      <c r="F1861" s="10"/>
      <c r="G1861" s="11"/>
      <c r="H1861" s="31">
        <f t="shared" ref="H1861:M1861" si="725">H1863+H1862</f>
        <v>0</v>
      </c>
      <c r="I1861" s="31">
        <f t="shared" si="725"/>
        <v>91579</v>
      </c>
      <c r="J1861" s="31">
        <f t="shared" si="725"/>
        <v>91579</v>
      </c>
      <c r="K1861" s="31">
        <f t="shared" si="725"/>
        <v>0</v>
      </c>
      <c r="L1861" s="31">
        <f t="shared" si="725"/>
        <v>91579</v>
      </c>
      <c r="M1861" s="31">
        <f t="shared" si="725"/>
        <v>2665.8</v>
      </c>
      <c r="N1861" s="31">
        <v>94244.800000000003</v>
      </c>
      <c r="O1861" s="36">
        <v>94244.800000000003</v>
      </c>
      <c r="P1861" s="350">
        <v>91999</v>
      </c>
      <c r="Q1861" s="257">
        <v>97.62</v>
      </c>
    </row>
    <row r="1862" spans="1:17" s="12" customFormat="1" ht="31.5">
      <c r="A1862" s="8" t="s">
        <v>389</v>
      </c>
      <c r="B1862" s="10" t="s">
        <v>517</v>
      </c>
      <c r="C1862" s="10" t="s">
        <v>140</v>
      </c>
      <c r="D1862" s="10" t="s">
        <v>28</v>
      </c>
      <c r="E1862" s="10" t="s">
        <v>632</v>
      </c>
      <c r="F1862" s="10" t="s">
        <v>369</v>
      </c>
      <c r="G1862" s="11"/>
      <c r="H1862" s="31"/>
      <c r="I1862" s="36">
        <v>87554.5</v>
      </c>
      <c r="J1862" s="36">
        <f>H1862+I1862</f>
        <v>87554.5</v>
      </c>
      <c r="K1862" s="36"/>
      <c r="L1862" s="36">
        <f>J1862+K1862</f>
        <v>87554.5</v>
      </c>
      <c r="M1862" s="36">
        <f>2092.9+498.9-0.1</f>
        <v>2591.6999999999998</v>
      </c>
      <c r="N1862" s="36">
        <v>90146.2</v>
      </c>
      <c r="O1862" s="7">
        <v>90146.2</v>
      </c>
      <c r="P1862" s="349">
        <v>88014.6</v>
      </c>
      <c r="Q1862" s="257">
        <v>97.64</v>
      </c>
    </row>
    <row r="1863" spans="1:17" s="12" customFormat="1">
      <c r="A1863" s="8" t="s">
        <v>448</v>
      </c>
      <c r="B1863" s="10" t="s">
        <v>517</v>
      </c>
      <c r="C1863" s="10" t="s">
        <v>140</v>
      </c>
      <c r="D1863" s="10" t="s">
        <v>28</v>
      </c>
      <c r="E1863" s="10" t="s">
        <v>632</v>
      </c>
      <c r="F1863" s="10" t="s">
        <v>447</v>
      </c>
      <c r="G1863" s="11"/>
      <c r="H1863" s="31"/>
      <c r="I1863" s="7">
        <v>4024.5</v>
      </c>
      <c r="J1863" s="7">
        <f>H1863+I1863</f>
        <v>4024.5</v>
      </c>
      <c r="K1863" s="7"/>
      <c r="L1863" s="7">
        <f>J1863+K1863</f>
        <v>4024.5</v>
      </c>
      <c r="M1863" s="7">
        <v>74.099999999999994</v>
      </c>
      <c r="N1863" s="7">
        <v>4098.6000000000004</v>
      </c>
      <c r="O1863" s="7">
        <v>4098.6000000000004</v>
      </c>
      <c r="P1863" s="349">
        <v>3984.4</v>
      </c>
      <c r="Q1863" s="257">
        <v>97.21</v>
      </c>
    </row>
    <row r="1864" spans="1:17" s="30" customFormat="1">
      <c r="A1864" s="26" t="s">
        <v>49</v>
      </c>
      <c r="B1864" s="27" t="s">
        <v>517</v>
      </c>
      <c r="C1864" s="27"/>
      <c r="D1864" s="27"/>
      <c r="E1864" s="27"/>
      <c r="F1864" s="27"/>
      <c r="G1864" s="28">
        <v>12297.1</v>
      </c>
      <c r="H1864" s="28">
        <v>12297.1</v>
      </c>
      <c r="I1864" s="29">
        <f t="shared" ref="I1864:M1864" si="726">I1865+I1870</f>
        <v>4305.2</v>
      </c>
      <c r="J1864" s="29">
        <f t="shared" si="726"/>
        <v>16602.3</v>
      </c>
      <c r="K1864" s="29">
        <f t="shared" si="726"/>
        <v>-643.79999999999995</v>
      </c>
      <c r="L1864" s="29">
        <f t="shared" si="726"/>
        <v>15958.5</v>
      </c>
      <c r="M1864" s="29">
        <f t="shared" si="726"/>
        <v>-662.3</v>
      </c>
      <c r="N1864" s="29">
        <v>15296.2</v>
      </c>
      <c r="O1864" s="29">
        <v>15296.2</v>
      </c>
      <c r="P1864" s="348">
        <v>15205.8</v>
      </c>
      <c r="Q1864" s="256">
        <v>99.41</v>
      </c>
    </row>
    <row r="1865" spans="1:17" s="30" customFormat="1">
      <c r="A1865" s="26" t="s">
        <v>45</v>
      </c>
      <c r="B1865" s="27" t="s">
        <v>517</v>
      </c>
      <c r="C1865" s="27" t="s">
        <v>140</v>
      </c>
      <c r="D1865" s="27"/>
      <c r="E1865" s="27"/>
      <c r="F1865" s="27"/>
      <c r="G1865" s="28">
        <v>12297.1</v>
      </c>
      <c r="H1865" s="28">
        <v>12297.1</v>
      </c>
      <c r="I1865" s="29">
        <f t="shared" ref="I1865:M1868" si="727">I1866</f>
        <v>0</v>
      </c>
      <c r="J1865" s="29">
        <f t="shared" si="727"/>
        <v>12297.1</v>
      </c>
      <c r="K1865" s="29">
        <f t="shared" si="727"/>
        <v>0</v>
      </c>
      <c r="L1865" s="29">
        <f t="shared" si="727"/>
        <v>12297.1</v>
      </c>
      <c r="M1865" s="29">
        <f t="shared" si="727"/>
        <v>-572.9</v>
      </c>
      <c r="N1865" s="29">
        <v>11724.2</v>
      </c>
      <c r="O1865" s="29">
        <v>11724.2</v>
      </c>
      <c r="P1865" s="348">
        <v>11633.8</v>
      </c>
      <c r="Q1865" s="256">
        <v>99.23</v>
      </c>
    </row>
    <row r="1866" spans="1:17" s="30" customFormat="1">
      <c r="A1866" s="26" t="s">
        <v>178</v>
      </c>
      <c r="B1866" s="27" t="s">
        <v>517</v>
      </c>
      <c r="C1866" s="27" t="s">
        <v>140</v>
      </c>
      <c r="D1866" s="27" t="s">
        <v>16</v>
      </c>
      <c r="E1866" s="27"/>
      <c r="F1866" s="27"/>
      <c r="G1866" s="28">
        <v>12297.1</v>
      </c>
      <c r="H1866" s="28">
        <v>12297.1</v>
      </c>
      <c r="I1866" s="29">
        <f t="shared" si="727"/>
        <v>0</v>
      </c>
      <c r="J1866" s="29">
        <f t="shared" si="727"/>
        <v>12297.1</v>
      </c>
      <c r="K1866" s="29">
        <f t="shared" si="727"/>
        <v>0</v>
      </c>
      <c r="L1866" s="29">
        <f t="shared" si="727"/>
        <v>12297.1</v>
      </c>
      <c r="M1866" s="29">
        <f t="shared" si="727"/>
        <v>-572.9</v>
      </c>
      <c r="N1866" s="29">
        <v>11724.2</v>
      </c>
      <c r="O1866" s="29">
        <v>11724.2</v>
      </c>
      <c r="P1866" s="348">
        <v>11633.8</v>
      </c>
      <c r="Q1866" s="256">
        <v>99.23</v>
      </c>
    </row>
    <row r="1867" spans="1:17" s="12" customFormat="1">
      <c r="A1867" s="8" t="s">
        <v>311</v>
      </c>
      <c r="B1867" s="10" t="s">
        <v>517</v>
      </c>
      <c r="C1867" s="10" t="s">
        <v>140</v>
      </c>
      <c r="D1867" s="10" t="s">
        <v>16</v>
      </c>
      <c r="E1867" s="86" t="s">
        <v>312</v>
      </c>
      <c r="F1867" s="10"/>
      <c r="G1867" s="11">
        <v>12297.1</v>
      </c>
      <c r="H1867" s="11">
        <v>12297.1</v>
      </c>
      <c r="I1867" s="7">
        <f t="shared" si="727"/>
        <v>0</v>
      </c>
      <c r="J1867" s="7">
        <f t="shared" si="727"/>
        <v>12297.1</v>
      </c>
      <c r="K1867" s="7">
        <f t="shared" si="727"/>
        <v>0</v>
      </c>
      <c r="L1867" s="7">
        <f t="shared" si="727"/>
        <v>12297.1</v>
      </c>
      <c r="M1867" s="7">
        <f t="shared" si="727"/>
        <v>-572.9</v>
      </c>
      <c r="N1867" s="7">
        <v>11724.2</v>
      </c>
      <c r="O1867" s="7">
        <v>11724.2</v>
      </c>
      <c r="P1867" s="349">
        <v>11633.8</v>
      </c>
      <c r="Q1867" s="257">
        <v>99.23</v>
      </c>
    </row>
    <row r="1868" spans="1:17" s="12" customFormat="1">
      <c r="A1868" s="8" t="s">
        <v>631</v>
      </c>
      <c r="B1868" s="10" t="s">
        <v>517</v>
      </c>
      <c r="C1868" s="10" t="s">
        <v>140</v>
      </c>
      <c r="D1868" s="10" t="s">
        <v>16</v>
      </c>
      <c r="E1868" s="86" t="s">
        <v>632</v>
      </c>
      <c r="F1868" s="10"/>
      <c r="G1868" s="11">
        <v>12297.1</v>
      </c>
      <c r="H1868" s="11">
        <v>12297.1</v>
      </c>
      <c r="I1868" s="7">
        <f t="shared" si="727"/>
        <v>0</v>
      </c>
      <c r="J1868" s="7">
        <f t="shared" si="727"/>
        <v>12297.1</v>
      </c>
      <c r="K1868" s="7">
        <f t="shared" si="727"/>
        <v>0</v>
      </c>
      <c r="L1868" s="7">
        <f t="shared" si="727"/>
        <v>12297.1</v>
      </c>
      <c r="M1868" s="7">
        <f t="shared" si="727"/>
        <v>-572.9</v>
      </c>
      <c r="N1868" s="7">
        <v>11724.2</v>
      </c>
      <c r="O1868" s="7">
        <v>11724.2</v>
      </c>
      <c r="P1868" s="349">
        <v>11633.8</v>
      </c>
      <c r="Q1868" s="257">
        <v>99.23</v>
      </c>
    </row>
    <row r="1869" spans="1:17" s="12" customFormat="1" ht="31.5">
      <c r="A1869" s="8" t="s">
        <v>633</v>
      </c>
      <c r="B1869" s="10" t="s">
        <v>517</v>
      </c>
      <c r="C1869" s="10" t="s">
        <v>140</v>
      </c>
      <c r="D1869" s="10" t="s">
        <v>16</v>
      </c>
      <c r="E1869" s="86" t="s">
        <v>632</v>
      </c>
      <c r="F1869" s="10" t="s">
        <v>634</v>
      </c>
      <c r="G1869" s="11">
        <v>12297.1</v>
      </c>
      <c r="H1869" s="31">
        <v>12297.1</v>
      </c>
      <c r="I1869" s="7"/>
      <c r="J1869" s="7">
        <f>H1869+I1869</f>
        <v>12297.1</v>
      </c>
      <c r="K1869" s="7"/>
      <c r="L1869" s="7">
        <f>J1869+K1869</f>
        <v>12297.1</v>
      </c>
      <c r="M1869" s="7">
        <f>-573+0.1</f>
        <v>-572.9</v>
      </c>
      <c r="N1869" s="7">
        <v>11724.2</v>
      </c>
      <c r="O1869" s="7">
        <v>11724.2</v>
      </c>
      <c r="P1869" s="349">
        <v>11633.8</v>
      </c>
      <c r="Q1869" s="257">
        <v>99.23</v>
      </c>
    </row>
    <row r="1870" spans="1:17" s="12" customFormat="1" ht="47.25">
      <c r="A1870" s="26" t="s">
        <v>199</v>
      </c>
      <c r="B1870" s="27" t="s">
        <v>517</v>
      </c>
      <c r="C1870" s="27" t="s">
        <v>200</v>
      </c>
      <c r="D1870" s="27"/>
      <c r="E1870" s="87"/>
      <c r="F1870" s="27"/>
      <c r="G1870" s="28"/>
      <c r="H1870" s="60">
        <f>H1871</f>
        <v>0</v>
      </c>
      <c r="I1870" s="60">
        <f>I1871</f>
        <v>4305.2</v>
      </c>
      <c r="J1870" s="60">
        <f>J1871</f>
        <v>4305.2</v>
      </c>
      <c r="K1870" s="60">
        <f>K1871</f>
        <v>-643.79999999999995</v>
      </c>
      <c r="L1870" s="60">
        <f>L1871</f>
        <v>3661.4</v>
      </c>
      <c r="M1870" s="60">
        <f t="shared" ref="M1870:M1872" si="728">M1871</f>
        <v>-89.4</v>
      </c>
      <c r="N1870" s="60">
        <v>3572</v>
      </c>
      <c r="O1870" s="74">
        <v>3572</v>
      </c>
      <c r="P1870" s="352">
        <v>3572</v>
      </c>
      <c r="Q1870" s="256">
        <v>100</v>
      </c>
    </row>
    <row r="1871" spans="1:17" s="12" customFormat="1">
      <c r="A1871" s="26" t="s">
        <v>215</v>
      </c>
      <c r="B1871" s="27" t="s">
        <v>517</v>
      </c>
      <c r="C1871" s="27" t="s">
        <v>200</v>
      </c>
      <c r="D1871" s="27" t="s">
        <v>28</v>
      </c>
      <c r="E1871" s="87"/>
      <c r="F1871" s="27"/>
      <c r="G1871" s="28"/>
      <c r="H1871" s="60">
        <f>H1873</f>
        <v>0</v>
      </c>
      <c r="I1871" s="60">
        <f>I1873</f>
        <v>4305.2</v>
      </c>
      <c r="J1871" s="60">
        <f>J1873</f>
        <v>4305.2</v>
      </c>
      <c r="K1871" s="60">
        <f>K1873</f>
        <v>-643.79999999999995</v>
      </c>
      <c r="L1871" s="60">
        <f>L1872</f>
        <v>3661.4</v>
      </c>
      <c r="M1871" s="60">
        <f t="shared" si="728"/>
        <v>-89.4</v>
      </c>
      <c r="N1871" s="60">
        <v>3572</v>
      </c>
      <c r="O1871" s="74">
        <v>3572</v>
      </c>
      <c r="P1871" s="352">
        <v>3572</v>
      </c>
      <c r="Q1871" s="256">
        <v>100</v>
      </c>
    </row>
    <row r="1872" spans="1:17" s="12" customFormat="1">
      <c r="A1872" s="8" t="s">
        <v>311</v>
      </c>
      <c r="B1872" s="10" t="s">
        <v>517</v>
      </c>
      <c r="C1872" s="10" t="s">
        <v>200</v>
      </c>
      <c r="D1872" s="10" t="s">
        <v>28</v>
      </c>
      <c r="E1872" s="86" t="s">
        <v>312</v>
      </c>
      <c r="F1872" s="27"/>
      <c r="G1872" s="28"/>
      <c r="H1872" s="60"/>
      <c r="I1872" s="60"/>
      <c r="J1872" s="60"/>
      <c r="K1872" s="60"/>
      <c r="L1872" s="60">
        <f>L1873</f>
        <v>3661.4</v>
      </c>
      <c r="M1872" s="60">
        <f t="shared" si="728"/>
        <v>-89.4</v>
      </c>
      <c r="N1872" s="60">
        <v>3572</v>
      </c>
      <c r="O1872" s="74">
        <v>3572</v>
      </c>
      <c r="P1872" s="352">
        <v>3572</v>
      </c>
      <c r="Q1872" s="256">
        <v>100</v>
      </c>
    </row>
    <row r="1873" spans="1:17" s="12" customFormat="1" ht="47.25">
      <c r="A1873" s="33" t="s">
        <v>764</v>
      </c>
      <c r="B1873" s="10" t="s">
        <v>517</v>
      </c>
      <c r="C1873" s="10" t="s">
        <v>200</v>
      </c>
      <c r="D1873" s="10" t="s">
        <v>28</v>
      </c>
      <c r="E1873" s="86" t="s">
        <v>763</v>
      </c>
      <c r="F1873" s="10"/>
      <c r="G1873" s="11"/>
      <c r="H1873" s="31">
        <f>H1874</f>
        <v>0</v>
      </c>
      <c r="I1873" s="31">
        <f>I1874</f>
        <v>4305.2</v>
      </c>
      <c r="J1873" s="31">
        <f>J1874</f>
        <v>4305.2</v>
      </c>
      <c r="K1873" s="31">
        <f>K1874</f>
        <v>-643.79999999999995</v>
      </c>
      <c r="L1873" s="31">
        <f>L1874</f>
        <v>3661.4</v>
      </c>
      <c r="M1873" s="31">
        <f>M1874</f>
        <v>-89.4</v>
      </c>
      <c r="N1873" s="31">
        <v>3572</v>
      </c>
      <c r="O1873" s="36">
        <v>3572</v>
      </c>
      <c r="P1873" s="350">
        <v>3572</v>
      </c>
      <c r="Q1873" s="257">
        <v>100</v>
      </c>
    </row>
    <row r="1874" spans="1:17" s="12" customFormat="1" ht="47.25">
      <c r="A1874" s="8" t="s">
        <v>438</v>
      </c>
      <c r="B1874" s="10" t="s">
        <v>517</v>
      </c>
      <c r="C1874" s="10" t="s">
        <v>200</v>
      </c>
      <c r="D1874" s="10" t="s">
        <v>28</v>
      </c>
      <c r="E1874" s="86" t="s">
        <v>763</v>
      </c>
      <c r="F1874" s="10" t="s">
        <v>385</v>
      </c>
      <c r="G1874" s="11"/>
      <c r="H1874" s="31"/>
      <c r="I1874" s="7">
        <f>1966.4+2338.8</f>
        <v>4305.2</v>
      </c>
      <c r="J1874" s="7">
        <f>H1874+I1874</f>
        <v>4305.2</v>
      </c>
      <c r="K1874" s="7">
        <v>-643.79999999999995</v>
      </c>
      <c r="L1874" s="7">
        <f>J1874+K1874</f>
        <v>3661.4</v>
      </c>
      <c r="M1874" s="7">
        <f>-103.6+14.2</f>
        <v>-89.4</v>
      </c>
      <c r="N1874" s="7">
        <v>3572</v>
      </c>
      <c r="O1874" s="7">
        <v>3572</v>
      </c>
      <c r="P1874" s="349">
        <v>3572</v>
      </c>
      <c r="Q1874" s="257">
        <v>100</v>
      </c>
    </row>
    <row r="1875" spans="1:17">
      <c r="A1875" s="408" t="s">
        <v>313</v>
      </c>
      <c r="B1875" s="409"/>
      <c r="C1875" s="409"/>
      <c r="D1875" s="409"/>
      <c r="E1875" s="409"/>
      <c r="F1875" s="409"/>
      <c r="G1875" s="28">
        <v>23004.799999999999</v>
      </c>
      <c r="H1875" s="28">
        <v>45999.8</v>
      </c>
      <c r="I1875" s="29">
        <f>I1876+I1903+I1909</f>
        <v>150809.79999999999</v>
      </c>
      <c r="J1875" s="29">
        <f>J1876+J1903+J1909</f>
        <v>196809.60000000001</v>
      </c>
      <c r="K1875" s="29" t="e">
        <f>K1876+K1903+K1909</f>
        <v>#REF!</v>
      </c>
      <c r="L1875" s="29" t="e">
        <f>L1876+L1903+L1909</f>
        <v>#REF!</v>
      </c>
      <c r="M1875" s="29" t="e">
        <f>M1876+M1903+M1909</f>
        <v>#REF!</v>
      </c>
      <c r="N1875" s="29">
        <v>175396.4</v>
      </c>
      <c r="O1875" s="29">
        <v>168738.8</v>
      </c>
      <c r="P1875" s="348">
        <v>147899.6</v>
      </c>
      <c r="Q1875" s="256">
        <v>87.65</v>
      </c>
    </row>
    <row r="1876" spans="1:17" s="30" customFormat="1">
      <c r="A1876" s="26" t="s">
        <v>100</v>
      </c>
      <c r="B1876" s="73">
        <v>923</v>
      </c>
      <c r="C1876" s="78" t="s">
        <v>11</v>
      </c>
      <c r="D1876" s="78"/>
      <c r="E1876" s="78"/>
      <c r="F1876" s="78"/>
      <c r="G1876" s="28">
        <v>16004.8</v>
      </c>
      <c r="H1876" s="28">
        <v>38799.800000000003</v>
      </c>
      <c r="I1876" s="29">
        <f t="shared" ref="I1876:M1876" si="729">I1877</f>
        <v>54548.2</v>
      </c>
      <c r="J1876" s="29">
        <f t="shared" si="729"/>
        <v>93348</v>
      </c>
      <c r="K1876" s="29" t="e">
        <f t="shared" si="729"/>
        <v>#REF!</v>
      </c>
      <c r="L1876" s="29" t="e">
        <f t="shared" si="729"/>
        <v>#REF!</v>
      </c>
      <c r="M1876" s="29" t="e">
        <f t="shared" si="729"/>
        <v>#REF!</v>
      </c>
      <c r="N1876" s="29">
        <v>128989</v>
      </c>
      <c r="O1876" s="29">
        <v>125149.6</v>
      </c>
      <c r="P1876" s="348">
        <v>104444.2</v>
      </c>
      <c r="Q1876" s="256">
        <v>83.46</v>
      </c>
    </row>
    <row r="1877" spans="1:17" s="30" customFormat="1">
      <c r="A1877" s="26" t="s">
        <v>158</v>
      </c>
      <c r="B1877" s="73">
        <v>923</v>
      </c>
      <c r="C1877" s="78" t="s">
        <v>11</v>
      </c>
      <c r="D1877" s="78" t="s">
        <v>69</v>
      </c>
      <c r="E1877" s="78"/>
      <c r="F1877" s="78"/>
      <c r="G1877" s="28">
        <v>16004.8</v>
      </c>
      <c r="H1877" s="28">
        <v>38799.800000000003</v>
      </c>
      <c r="I1877" s="29">
        <f>I1878+I1893+I1886</f>
        <v>54548.2</v>
      </c>
      <c r="J1877" s="29">
        <f>J1878+J1893+J1886</f>
        <v>93348</v>
      </c>
      <c r="K1877" s="29" t="e">
        <f>K1878+K1893+K1886</f>
        <v>#REF!</v>
      </c>
      <c r="L1877" s="29" t="e">
        <f>L1878+L1893+L1886+L1890</f>
        <v>#REF!</v>
      </c>
      <c r="M1877" s="29" t="e">
        <f>M1878+M1893+M1886+M1890</f>
        <v>#REF!</v>
      </c>
      <c r="N1877" s="29">
        <v>128989</v>
      </c>
      <c r="O1877" s="29">
        <v>125149.6</v>
      </c>
      <c r="P1877" s="348">
        <v>104444.2</v>
      </c>
      <c r="Q1877" s="256">
        <v>83.46</v>
      </c>
    </row>
    <row r="1878" spans="1:17" s="12" customFormat="1" ht="47.25">
      <c r="A1878" s="8" t="s">
        <v>40</v>
      </c>
      <c r="B1878" s="57">
        <v>923</v>
      </c>
      <c r="C1878" s="41" t="s">
        <v>11</v>
      </c>
      <c r="D1878" s="41" t="s">
        <v>69</v>
      </c>
      <c r="E1878" s="41" t="s">
        <v>41</v>
      </c>
      <c r="F1878" s="10"/>
      <c r="G1878" s="11">
        <v>1404.8</v>
      </c>
      <c r="H1878" s="11">
        <v>17199.8</v>
      </c>
      <c r="I1878" s="7">
        <f t="shared" ref="I1878:M1878" si="730">I1879</f>
        <v>0</v>
      </c>
      <c r="J1878" s="7">
        <f t="shared" si="730"/>
        <v>17199.8</v>
      </c>
      <c r="K1878" s="7" t="e">
        <f t="shared" si="730"/>
        <v>#REF!</v>
      </c>
      <c r="L1878" s="7" t="e">
        <f t="shared" si="730"/>
        <v>#REF!</v>
      </c>
      <c r="M1878" s="7" t="e">
        <f t="shared" si="730"/>
        <v>#REF!</v>
      </c>
      <c r="N1878" s="7">
        <v>17432.7</v>
      </c>
      <c r="O1878" s="7">
        <v>17432.7</v>
      </c>
      <c r="P1878" s="349">
        <v>17272.2</v>
      </c>
      <c r="Q1878" s="257">
        <v>99.08</v>
      </c>
    </row>
    <row r="1879" spans="1:17" s="12" customFormat="1">
      <c r="A1879" s="8" t="s">
        <v>42</v>
      </c>
      <c r="B1879" s="57">
        <v>923</v>
      </c>
      <c r="C1879" s="41" t="s">
        <v>11</v>
      </c>
      <c r="D1879" s="41" t="s">
        <v>69</v>
      </c>
      <c r="E1879" s="41" t="s">
        <v>43</v>
      </c>
      <c r="F1879" s="10"/>
      <c r="G1879" s="11">
        <v>1404.8</v>
      </c>
      <c r="H1879" s="11">
        <v>17199.8</v>
      </c>
      <c r="I1879" s="7">
        <f>I1880+I1881+I1882+I1883+I1884+I1885</f>
        <v>0</v>
      </c>
      <c r="J1879" s="7">
        <f>J1880+J1881+J1882+J1883+J1884+J1885</f>
        <v>17199.8</v>
      </c>
      <c r="K1879" s="7" t="e">
        <f>K1880+K1881+K1882+K1883+K1884+K1885+#REF!</f>
        <v>#REF!</v>
      </c>
      <c r="L1879" s="7" t="e">
        <f>L1880+L1881+L1882+L1883+L1884+L1885+#REF!</f>
        <v>#REF!</v>
      </c>
      <c r="M1879" s="7" t="e">
        <f>M1880+M1881+M1882+M1883+M1884+M1885+#REF!</f>
        <v>#REF!</v>
      </c>
      <c r="N1879" s="7">
        <v>17432.7</v>
      </c>
      <c r="O1879" s="7">
        <v>17432.7</v>
      </c>
      <c r="P1879" s="349">
        <v>17272.2</v>
      </c>
      <c r="Q1879" s="257">
        <v>99.08</v>
      </c>
    </row>
    <row r="1880" spans="1:17" s="12" customFormat="1">
      <c r="A1880" s="8" t="s">
        <v>337</v>
      </c>
      <c r="B1880" s="57">
        <v>923</v>
      </c>
      <c r="C1880" s="41" t="s">
        <v>11</v>
      </c>
      <c r="D1880" s="41" t="s">
        <v>69</v>
      </c>
      <c r="E1880" s="41" t="s">
        <v>43</v>
      </c>
      <c r="F1880" s="10" t="s">
        <v>331</v>
      </c>
      <c r="G1880" s="11">
        <v>1232.0999999999999</v>
      </c>
      <c r="H1880" s="31">
        <v>12524.1</v>
      </c>
      <c r="I1880" s="7"/>
      <c r="J1880" s="7">
        <f t="shared" ref="J1880:J1885" si="731">H1880+I1880</f>
        <v>12524.1</v>
      </c>
      <c r="K1880" s="7">
        <f>69.8+244.3</f>
        <v>314.10000000000002</v>
      </c>
      <c r="L1880" s="7">
        <f t="shared" ref="L1880:L1885" si="732">J1880+K1880</f>
        <v>12838.2</v>
      </c>
      <c r="M1880" s="7">
        <v>260</v>
      </c>
      <c r="N1880" s="7">
        <v>13098.2</v>
      </c>
      <c r="O1880" s="7">
        <v>13098.2</v>
      </c>
      <c r="P1880" s="349">
        <v>13017.7</v>
      </c>
      <c r="Q1880" s="257">
        <v>99.39</v>
      </c>
    </row>
    <row r="1881" spans="1:17" s="12" customFormat="1">
      <c r="A1881" s="8" t="s">
        <v>356</v>
      </c>
      <c r="B1881" s="57">
        <v>923</v>
      </c>
      <c r="C1881" s="41" t="s">
        <v>11</v>
      </c>
      <c r="D1881" s="41" t="s">
        <v>69</v>
      </c>
      <c r="E1881" s="41" t="s">
        <v>43</v>
      </c>
      <c r="F1881" s="10" t="s">
        <v>332</v>
      </c>
      <c r="G1881" s="11">
        <v>-383</v>
      </c>
      <c r="H1881" s="31">
        <v>610</v>
      </c>
      <c r="I1881" s="7"/>
      <c r="J1881" s="7">
        <f t="shared" si="731"/>
        <v>610</v>
      </c>
      <c r="K1881" s="7"/>
      <c r="L1881" s="7">
        <f t="shared" si="732"/>
        <v>610</v>
      </c>
      <c r="M1881" s="7">
        <f>31.4+50</f>
        <v>81.400000000000006</v>
      </c>
      <c r="N1881" s="7">
        <v>691.4</v>
      </c>
      <c r="O1881" s="7">
        <v>691.4</v>
      </c>
      <c r="P1881" s="349">
        <v>665.6</v>
      </c>
      <c r="Q1881" s="257">
        <v>96.27</v>
      </c>
    </row>
    <row r="1882" spans="1:17" s="12" customFormat="1" ht="31.5">
      <c r="A1882" s="8" t="s">
        <v>361</v>
      </c>
      <c r="B1882" s="57">
        <v>923</v>
      </c>
      <c r="C1882" s="41" t="s">
        <v>11</v>
      </c>
      <c r="D1882" s="41" t="s">
        <v>69</v>
      </c>
      <c r="E1882" s="41" t="s">
        <v>43</v>
      </c>
      <c r="F1882" s="10" t="s">
        <v>333</v>
      </c>
      <c r="G1882" s="11">
        <v>595</v>
      </c>
      <c r="H1882" s="31">
        <v>630</v>
      </c>
      <c r="I1882" s="7"/>
      <c r="J1882" s="7">
        <f t="shared" si="731"/>
        <v>630</v>
      </c>
      <c r="K1882" s="7">
        <v>70</v>
      </c>
      <c r="L1882" s="7">
        <f t="shared" si="732"/>
        <v>700</v>
      </c>
      <c r="M1882" s="7"/>
      <c r="N1882" s="7">
        <v>700</v>
      </c>
      <c r="O1882" s="7">
        <v>700</v>
      </c>
      <c r="P1882" s="349">
        <v>690</v>
      </c>
      <c r="Q1882" s="257">
        <v>98.57</v>
      </c>
    </row>
    <row r="1883" spans="1:17" s="12" customFormat="1">
      <c r="A1883" s="8" t="s">
        <v>362</v>
      </c>
      <c r="B1883" s="57">
        <v>923</v>
      </c>
      <c r="C1883" s="41" t="s">
        <v>11</v>
      </c>
      <c r="D1883" s="41" t="s">
        <v>69</v>
      </c>
      <c r="E1883" s="41" t="s">
        <v>43</v>
      </c>
      <c r="F1883" s="10" t="s">
        <v>334</v>
      </c>
      <c r="G1883" s="11">
        <v>-39.299999999999997</v>
      </c>
      <c r="H1883" s="31">
        <v>2741</v>
      </c>
      <c r="I1883" s="7"/>
      <c r="J1883" s="7">
        <f t="shared" si="731"/>
        <v>2741</v>
      </c>
      <c r="K1883" s="7">
        <f>-69.8-70-11.4</f>
        <v>-151.19999999999999</v>
      </c>
      <c r="L1883" s="7">
        <f t="shared" si="732"/>
        <v>2589.8000000000002</v>
      </c>
      <c r="M1883" s="7">
        <f>-31.4-50-260</f>
        <v>-341.4</v>
      </c>
      <c r="N1883" s="7">
        <v>2248.4</v>
      </c>
      <c r="O1883" s="7">
        <v>2248.4</v>
      </c>
      <c r="P1883" s="349">
        <v>2220.8000000000002</v>
      </c>
      <c r="Q1883" s="257">
        <v>98.77</v>
      </c>
    </row>
    <row r="1884" spans="1:17" s="12" customFormat="1">
      <c r="A1884" s="8" t="s">
        <v>384</v>
      </c>
      <c r="B1884" s="57">
        <v>923</v>
      </c>
      <c r="C1884" s="41" t="s">
        <v>11</v>
      </c>
      <c r="D1884" s="41" t="s">
        <v>69</v>
      </c>
      <c r="E1884" s="41" t="s">
        <v>43</v>
      </c>
      <c r="F1884" s="10" t="s">
        <v>335</v>
      </c>
      <c r="G1884" s="11">
        <v>0</v>
      </c>
      <c r="H1884" s="31">
        <v>620.5</v>
      </c>
      <c r="I1884" s="7"/>
      <c r="J1884" s="7">
        <f t="shared" si="731"/>
        <v>620.5</v>
      </c>
      <c r="K1884" s="7">
        <v>-50</v>
      </c>
      <c r="L1884" s="7">
        <f t="shared" si="732"/>
        <v>570.5</v>
      </c>
      <c r="M1884" s="7"/>
      <c r="N1884" s="7">
        <v>570.5</v>
      </c>
      <c r="O1884" s="7">
        <v>570.5</v>
      </c>
      <c r="P1884" s="349">
        <v>570.5</v>
      </c>
      <c r="Q1884" s="257">
        <v>100</v>
      </c>
    </row>
    <row r="1885" spans="1:17" s="12" customFormat="1">
      <c r="A1885" s="8" t="s">
        <v>380</v>
      </c>
      <c r="B1885" s="57">
        <v>923</v>
      </c>
      <c r="C1885" s="41" t="s">
        <v>11</v>
      </c>
      <c r="D1885" s="41" t="s">
        <v>69</v>
      </c>
      <c r="E1885" s="41" t="s">
        <v>43</v>
      </c>
      <c r="F1885" s="10" t="s">
        <v>336</v>
      </c>
      <c r="G1885" s="11">
        <v>0</v>
      </c>
      <c r="H1885" s="31">
        <v>74.2</v>
      </c>
      <c r="I1885" s="7"/>
      <c r="J1885" s="7">
        <f t="shared" si="731"/>
        <v>74.2</v>
      </c>
      <c r="K1885" s="7">
        <v>50</v>
      </c>
      <c r="L1885" s="7">
        <f t="shared" si="732"/>
        <v>124.2</v>
      </c>
      <c r="M1885" s="7"/>
      <c r="N1885" s="7">
        <v>124.2</v>
      </c>
      <c r="O1885" s="7">
        <v>124.2</v>
      </c>
      <c r="P1885" s="349">
        <v>107.6</v>
      </c>
      <c r="Q1885" s="257">
        <v>86.63</v>
      </c>
    </row>
    <row r="1886" spans="1:17" s="12" customFormat="1">
      <c r="A1886" s="8" t="s">
        <v>830</v>
      </c>
      <c r="B1886" s="57">
        <v>923</v>
      </c>
      <c r="C1886" s="41" t="s">
        <v>11</v>
      </c>
      <c r="D1886" s="41" t="s">
        <v>69</v>
      </c>
      <c r="E1886" s="41" t="s">
        <v>828</v>
      </c>
      <c r="F1886" s="10"/>
      <c r="G1886" s="11"/>
      <c r="H1886" s="31">
        <f t="shared" ref="H1886:M1886" si="733">H1887</f>
        <v>0</v>
      </c>
      <c r="I1886" s="31">
        <f t="shared" si="733"/>
        <v>46768</v>
      </c>
      <c r="J1886" s="31">
        <f t="shared" si="733"/>
        <v>46768</v>
      </c>
      <c r="K1886" s="31">
        <f t="shared" si="733"/>
        <v>30168.799999999999</v>
      </c>
      <c r="L1886" s="31">
        <f t="shared" si="733"/>
        <v>76936.800000000003</v>
      </c>
      <c r="M1886" s="31">
        <f t="shared" si="733"/>
        <v>0</v>
      </c>
      <c r="N1886" s="31">
        <v>76936.800000000003</v>
      </c>
      <c r="O1886" s="36">
        <v>73097.399999999994</v>
      </c>
      <c r="P1886" s="350">
        <v>55228.800000000003</v>
      </c>
      <c r="Q1886" s="257">
        <v>75.56</v>
      </c>
    </row>
    <row r="1887" spans="1:17" s="88" customFormat="1" ht="47.25">
      <c r="A1887" s="33" t="s">
        <v>831</v>
      </c>
      <c r="B1887" s="57">
        <v>923</v>
      </c>
      <c r="C1887" s="41" t="s">
        <v>11</v>
      </c>
      <c r="D1887" s="41" t="s">
        <v>69</v>
      </c>
      <c r="E1887" s="41" t="s">
        <v>829</v>
      </c>
      <c r="F1887" s="10"/>
      <c r="G1887" s="77"/>
      <c r="H1887" s="31">
        <f>H1888</f>
        <v>0</v>
      </c>
      <c r="I1887" s="31">
        <f t="shared" ref="I1887:M1887" si="734">I1888+I1889</f>
        <v>46768</v>
      </c>
      <c r="J1887" s="31">
        <f t="shared" si="734"/>
        <v>46768</v>
      </c>
      <c r="K1887" s="31">
        <f t="shared" si="734"/>
        <v>30168.799999999999</v>
      </c>
      <c r="L1887" s="31">
        <f t="shared" si="734"/>
        <v>76936.800000000003</v>
      </c>
      <c r="M1887" s="31">
        <f t="shared" si="734"/>
        <v>0</v>
      </c>
      <c r="N1887" s="31">
        <v>76936.800000000003</v>
      </c>
      <c r="O1887" s="36">
        <v>73097.399999999994</v>
      </c>
      <c r="P1887" s="350">
        <v>55228.800000000003</v>
      </c>
      <c r="Q1887" s="257">
        <v>75.56</v>
      </c>
    </row>
    <row r="1888" spans="1:17" s="12" customFormat="1" ht="31.5">
      <c r="A1888" s="8" t="s">
        <v>330</v>
      </c>
      <c r="B1888" s="57">
        <v>923</v>
      </c>
      <c r="C1888" s="41" t="s">
        <v>11</v>
      </c>
      <c r="D1888" s="41" t="s">
        <v>69</v>
      </c>
      <c r="E1888" s="41" t="s">
        <v>829</v>
      </c>
      <c r="F1888" s="10" t="s">
        <v>329</v>
      </c>
      <c r="G1888" s="11"/>
      <c r="H1888" s="31"/>
      <c r="I1888" s="7">
        <v>4000</v>
      </c>
      <c r="J1888" s="7">
        <f>H1888+I1888</f>
        <v>4000</v>
      </c>
      <c r="K1888" s="7">
        <f>-2000+1133.2</f>
        <v>-866.8</v>
      </c>
      <c r="L1888" s="7">
        <f>J1888+K1888</f>
        <v>3133.2</v>
      </c>
      <c r="M1888" s="7"/>
      <c r="N1888" s="7">
        <v>3133.2</v>
      </c>
      <c r="O1888" s="7">
        <v>3133.2</v>
      </c>
      <c r="P1888" s="349">
        <v>3133.2</v>
      </c>
      <c r="Q1888" s="257">
        <v>100</v>
      </c>
    </row>
    <row r="1889" spans="1:17" s="12" customFormat="1" ht="47.25">
      <c r="A1889" s="8" t="s">
        <v>422</v>
      </c>
      <c r="B1889" s="57">
        <v>923</v>
      </c>
      <c r="C1889" s="41" t="s">
        <v>11</v>
      </c>
      <c r="D1889" s="41" t="s">
        <v>69</v>
      </c>
      <c r="E1889" s="41" t="s">
        <v>829</v>
      </c>
      <c r="F1889" s="10" t="s">
        <v>375</v>
      </c>
      <c r="G1889" s="11"/>
      <c r="H1889" s="31"/>
      <c r="I1889" s="7">
        <v>42768</v>
      </c>
      <c r="J1889" s="7">
        <f>H1889+I1889</f>
        <v>42768</v>
      </c>
      <c r="K1889" s="7">
        <f>32168.8-1133.2</f>
        <v>31035.599999999999</v>
      </c>
      <c r="L1889" s="7">
        <f>J1889+K1889</f>
        <v>73803.600000000006</v>
      </c>
      <c r="M1889" s="7"/>
      <c r="N1889" s="7">
        <v>73803.600000000006</v>
      </c>
      <c r="O1889" s="7">
        <v>69964.2</v>
      </c>
      <c r="P1889" s="349">
        <v>52095.6</v>
      </c>
      <c r="Q1889" s="257">
        <v>74.459999999999994</v>
      </c>
    </row>
    <row r="1890" spans="1:17" s="12" customFormat="1">
      <c r="A1890" s="8" t="s">
        <v>311</v>
      </c>
      <c r="B1890" s="57">
        <v>923</v>
      </c>
      <c r="C1890" s="41" t="s">
        <v>11</v>
      </c>
      <c r="D1890" s="41" t="s">
        <v>69</v>
      </c>
      <c r="E1890" s="41" t="s">
        <v>312</v>
      </c>
      <c r="F1890" s="10"/>
      <c r="G1890" s="11"/>
      <c r="H1890" s="31"/>
      <c r="I1890" s="7"/>
      <c r="J1890" s="7"/>
      <c r="K1890" s="7"/>
      <c r="L1890" s="7">
        <f>L1891</f>
        <v>0</v>
      </c>
      <c r="M1890" s="7">
        <f t="shared" ref="M1890:M1891" si="735">M1891</f>
        <v>24.1</v>
      </c>
      <c r="N1890" s="7">
        <v>24.1</v>
      </c>
      <c r="O1890" s="7">
        <v>24.1</v>
      </c>
      <c r="P1890" s="349">
        <v>24.1</v>
      </c>
      <c r="Q1890" s="257">
        <v>100</v>
      </c>
    </row>
    <row r="1891" spans="1:17" s="12" customFormat="1" ht="47.25">
      <c r="A1891" s="33" t="s">
        <v>764</v>
      </c>
      <c r="B1891" s="57">
        <v>923</v>
      </c>
      <c r="C1891" s="41" t="s">
        <v>11</v>
      </c>
      <c r="D1891" s="41" t="s">
        <v>69</v>
      </c>
      <c r="E1891" s="41" t="s">
        <v>763</v>
      </c>
      <c r="F1891" s="10"/>
      <c r="G1891" s="11"/>
      <c r="H1891" s="31"/>
      <c r="I1891" s="7"/>
      <c r="J1891" s="7"/>
      <c r="K1891" s="7"/>
      <c r="L1891" s="7">
        <f>L1892</f>
        <v>0</v>
      </c>
      <c r="M1891" s="7">
        <f t="shared" si="735"/>
        <v>24.1</v>
      </c>
      <c r="N1891" s="7">
        <v>24.1</v>
      </c>
      <c r="O1891" s="7">
        <v>24.1</v>
      </c>
      <c r="P1891" s="349">
        <v>24.1</v>
      </c>
      <c r="Q1891" s="257">
        <v>100</v>
      </c>
    </row>
    <row r="1892" spans="1:17" s="12" customFormat="1">
      <c r="A1892" s="8" t="s">
        <v>337</v>
      </c>
      <c r="B1892" s="57">
        <v>923</v>
      </c>
      <c r="C1892" s="41" t="s">
        <v>11</v>
      </c>
      <c r="D1892" s="41" t="s">
        <v>69</v>
      </c>
      <c r="E1892" s="41" t="s">
        <v>763</v>
      </c>
      <c r="F1892" s="10" t="s">
        <v>331</v>
      </c>
      <c r="G1892" s="11"/>
      <c r="H1892" s="31"/>
      <c r="I1892" s="7"/>
      <c r="J1892" s="7"/>
      <c r="K1892" s="7"/>
      <c r="L1892" s="7"/>
      <c r="M1892" s="7">
        <f>9.9+9.5+4.7</f>
        <v>24.1</v>
      </c>
      <c r="N1892" s="7">
        <v>24.1</v>
      </c>
      <c r="O1892" s="7">
        <v>24.1</v>
      </c>
      <c r="P1892" s="349">
        <v>24.1</v>
      </c>
      <c r="Q1892" s="257">
        <v>100</v>
      </c>
    </row>
    <row r="1893" spans="1:17" s="12" customFormat="1">
      <c r="A1893" s="8" t="s">
        <v>17</v>
      </c>
      <c r="B1893" s="57">
        <v>923</v>
      </c>
      <c r="C1893" s="41" t="s">
        <v>11</v>
      </c>
      <c r="D1893" s="41" t="s">
        <v>69</v>
      </c>
      <c r="E1893" s="41" t="s">
        <v>18</v>
      </c>
      <c r="F1893" s="41"/>
      <c r="G1893" s="11">
        <v>14600</v>
      </c>
      <c r="H1893" s="11">
        <v>21600</v>
      </c>
      <c r="I1893" s="7">
        <f t="shared" ref="I1893:M1893" si="736">I1894+I1899</f>
        <v>7780.2</v>
      </c>
      <c r="J1893" s="7">
        <f t="shared" si="736"/>
        <v>29380.2</v>
      </c>
      <c r="K1893" s="7">
        <f t="shared" si="736"/>
        <v>2862</v>
      </c>
      <c r="L1893" s="7">
        <f t="shared" si="736"/>
        <v>32242.2</v>
      </c>
      <c r="M1893" s="7">
        <f t="shared" si="736"/>
        <v>2353.1999999999998</v>
      </c>
      <c r="N1893" s="7">
        <v>34595.4</v>
      </c>
      <c r="O1893" s="7">
        <v>34595.4</v>
      </c>
      <c r="P1893" s="349">
        <v>31919.1</v>
      </c>
      <c r="Q1893" s="257">
        <v>92.26</v>
      </c>
    </row>
    <row r="1894" spans="1:17" s="12" customFormat="1" ht="31.5">
      <c r="A1894" s="8" t="s">
        <v>675</v>
      </c>
      <c r="B1894" s="57">
        <v>923</v>
      </c>
      <c r="C1894" s="41" t="s">
        <v>11</v>
      </c>
      <c r="D1894" s="41" t="s">
        <v>69</v>
      </c>
      <c r="E1894" s="41" t="s">
        <v>159</v>
      </c>
      <c r="F1894" s="41"/>
      <c r="G1894" s="11">
        <v>3100</v>
      </c>
      <c r="H1894" s="11">
        <v>10100</v>
      </c>
      <c r="I1894" s="7">
        <f>I1896+I1897+I1898</f>
        <v>5280.2</v>
      </c>
      <c r="J1894" s="7">
        <f t="shared" ref="J1894:M1894" si="737">J1896+J1897+J1898+J1895</f>
        <v>15380.2</v>
      </c>
      <c r="K1894" s="7">
        <f t="shared" si="737"/>
        <v>8362</v>
      </c>
      <c r="L1894" s="7">
        <f t="shared" si="737"/>
        <v>23742.2</v>
      </c>
      <c r="M1894" s="7">
        <f t="shared" si="737"/>
        <v>2353.1999999999998</v>
      </c>
      <c r="N1894" s="7">
        <v>26095.4</v>
      </c>
      <c r="O1894" s="7">
        <v>26095.4</v>
      </c>
      <c r="P1894" s="349">
        <v>23445.599999999999</v>
      </c>
      <c r="Q1894" s="257">
        <v>89.85</v>
      </c>
    </row>
    <row r="1895" spans="1:17" s="12" customFormat="1" ht="31.5">
      <c r="A1895" s="8" t="s">
        <v>361</v>
      </c>
      <c r="B1895" s="57">
        <v>923</v>
      </c>
      <c r="C1895" s="41" t="s">
        <v>11</v>
      </c>
      <c r="D1895" s="41" t="s">
        <v>69</v>
      </c>
      <c r="E1895" s="41" t="s">
        <v>159</v>
      </c>
      <c r="F1895" s="41" t="s">
        <v>333</v>
      </c>
      <c r="G1895" s="11"/>
      <c r="H1895" s="11"/>
      <c r="I1895" s="7"/>
      <c r="J1895" s="7"/>
      <c r="K1895" s="7">
        <v>293.8</v>
      </c>
      <c r="L1895" s="7">
        <f>J1895+K1895</f>
        <v>293.8</v>
      </c>
      <c r="M1895" s="7"/>
      <c r="N1895" s="7">
        <v>293.8</v>
      </c>
      <c r="O1895" s="7">
        <v>293.8</v>
      </c>
      <c r="P1895" s="349">
        <v>0</v>
      </c>
      <c r="Q1895" s="257">
        <v>0</v>
      </c>
    </row>
    <row r="1896" spans="1:17" s="12" customFormat="1">
      <c r="A1896" s="8" t="s">
        <v>362</v>
      </c>
      <c r="B1896" s="57">
        <v>923</v>
      </c>
      <c r="C1896" s="41" t="s">
        <v>11</v>
      </c>
      <c r="D1896" s="41" t="s">
        <v>69</v>
      </c>
      <c r="E1896" s="41" t="s">
        <v>159</v>
      </c>
      <c r="F1896" s="41" t="s">
        <v>334</v>
      </c>
      <c r="G1896" s="11">
        <v>3500</v>
      </c>
      <c r="H1896" s="31">
        <v>3500</v>
      </c>
      <c r="I1896" s="7"/>
      <c r="J1896" s="7">
        <f>H1896+I1896</f>
        <v>3500</v>
      </c>
      <c r="K1896" s="7">
        <f>-738-293.8</f>
        <v>-1031.8</v>
      </c>
      <c r="L1896" s="7">
        <f>J1896+K1896</f>
        <v>2468.1999999999998</v>
      </c>
      <c r="M1896" s="7">
        <v>-100</v>
      </c>
      <c r="N1896" s="7">
        <v>2368.1999999999998</v>
      </c>
      <c r="O1896" s="7">
        <v>2368.1999999999998</v>
      </c>
      <c r="P1896" s="349">
        <v>2365.4</v>
      </c>
      <c r="Q1896" s="257">
        <v>99.88</v>
      </c>
    </row>
    <row r="1897" spans="1:17" s="12" customFormat="1" ht="31.5">
      <c r="A1897" s="8" t="s">
        <v>330</v>
      </c>
      <c r="B1897" s="57">
        <v>923</v>
      </c>
      <c r="C1897" s="41" t="s">
        <v>11</v>
      </c>
      <c r="D1897" s="41" t="s">
        <v>69</v>
      </c>
      <c r="E1897" s="41" t="s">
        <v>159</v>
      </c>
      <c r="F1897" s="41" t="s">
        <v>329</v>
      </c>
      <c r="G1897" s="11">
        <v>-400</v>
      </c>
      <c r="H1897" s="31">
        <v>6600</v>
      </c>
      <c r="I1897" s="7">
        <v>923</v>
      </c>
      <c r="J1897" s="7">
        <f>H1897+I1897</f>
        <v>7523</v>
      </c>
      <c r="K1897" s="7">
        <f>500+283.3</f>
        <v>783.3</v>
      </c>
      <c r="L1897" s="7">
        <f>J1897+K1897</f>
        <v>8306.2999999999993</v>
      </c>
      <c r="M1897" s="7"/>
      <c r="N1897" s="7">
        <v>8306.2999999999993</v>
      </c>
      <c r="O1897" s="7">
        <v>8306.2999999999993</v>
      </c>
      <c r="P1897" s="349">
        <v>8306.2999999999993</v>
      </c>
      <c r="Q1897" s="257">
        <v>100</v>
      </c>
    </row>
    <row r="1898" spans="1:17" s="12" customFormat="1" ht="47.25">
      <c r="A1898" s="8" t="s">
        <v>422</v>
      </c>
      <c r="B1898" s="57">
        <v>923</v>
      </c>
      <c r="C1898" s="41" t="s">
        <v>11</v>
      </c>
      <c r="D1898" s="41" t="s">
        <v>69</v>
      </c>
      <c r="E1898" s="41" t="s">
        <v>159</v>
      </c>
      <c r="F1898" s="41" t="s">
        <v>375</v>
      </c>
      <c r="G1898" s="11"/>
      <c r="H1898" s="31"/>
      <c r="I1898" s="7">
        <f>4000+357.2</f>
        <v>4357.2</v>
      </c>
      <c r="J1898" s="7">
        <f>H1898+I1898</f>
        <v>4357.2</v>
      </c>
      <c r="K1898" s="7">
        <f>500+8100-283.3</f>
        <v>8316.7000000000007</v>
      </c>
      <c r="L1898" s="7">
        <f>J1898+K1898</f>
        <v>12673.9</v>
      </c>
      <c r="M1898" s="7">
        <f>100+894.4+1458.8</f>
        <v>2453.1999999999998</v>
      </c>
      <c r="N1898" s="7">
        <v>15127.1</v>
      </c>
      <c r="O1898" s="7">
        <v>15127.1</v>
      </c>
      <c r="P1898" s="349">
        <v>12773.9</v>
      </c>
      <c r="Q1898" s="257">
        <v>84.44</v>
      </c>
    </row>
    <row r="1899" spans="1:17" s="12" customFormat="1" ht="47.25">
      <c r="A1899" s="8" t="s">
        <v>314</v>
      </c>
      <c r="B1899" s="57">
        <v>923</v>
      </c>
      <c r="C1899" s="41" t="s">
        <v>11</v>
      </c>
      <c r="D1899" s="41" t="s">
        <v>69</v>
      </c>
      <c r="E1899" s="41" t="s">
        <v>315</v>
      </c>
      <c r="F1899" s="41"/>
      <c r="G1899" s="11">
        <v>11500</v>
      </c>
      <c r="H1899" s="11">
        <v>11500</v>
      </c>
      <c r="I1899" s="7">
        <f t="shared" ref="I1899:M1899" si="738">I1900+I1902+I1901</f>
        <v>2500</v>
      </c>
      <c r="J1899" s="7">
        <f t="shared" si="738"/>
        <v>14000</v>
      </c>
      <c r="K1899" s="7">
        <f t="shared" si="738"/>
        <v>-5500</v>
      </c>
      <c r="L1899" s="7">
        <f t="shared" si="738"/>
        <v>8500</v>
      </c>
      <c r="M1899" s="7">
        <f t="shared" si="738"/>
        <v>0</v>
      </c>
      <c r="N1899" s="7">
        <v>8500</v>
      </c>
      <c r="O1899" s="7">
        <v>8500</v>
      </c>
      <c r="P1899" s="349">
        <v>8473.5</v>
      </c>
      <c r="Q1899" s="257">
        <v>99.69</v>
      </c>
    </row>
    <row r="1900" spans="1:17" s="12" customFormat="1">
      <c r="A1900" s="8" t="s">
        <v>356</v>
      </c>
      <c r="B1900" s="57">
        <v>923</v>
      </c>
      <c r="C1900" s="41" t="s">
        <v>11</v>
      </c>
      <c r="D1900" s="41" t="s">
        <v>69</v>
      </c>
      <c r="E1900" s="41" t="s">
        <v>315</v>
      </c>
      <c r="F1900" s="41" t="s">
        <v>332</v>
      </c>
      <c r="G1900" s="11">
        <v>320</v>
      </c>
      <c r="H1900" s="31">
        <v>320</v>
      </c>
      <c r="I1900" s="7">
        <v>289</v>
      </c>
      <c r="J1900" s="7">
        <f>H1900+I1900</f>
        <v>609</v>
      </c>
      <c r="K1900" s="7"/>
      <c r="L1900" s="7">
        <f>J1900+K1900</f>
        <v>609</v>
      </c>
      <c r="M1900" s="7">
        <v>79</v>
      </c>
      <c r="N1900" s="7">
        <v>688</v>
      </c>
      <c r="O1900" s="7">
        <v>688</v>
      </c>
      <c r="P1900" s="349">
        <v>661.5</v>
      </c>
      <c r="Q1900" s="257">
        <v>96.15</v>
      </c>
    </row>
    <row r="1901" spans="1:17" s="12" customFormat="1" ht="31.5">
      <c r="A1901" s="8" t="s">
        <v>361</v>
      </c>
      <c r="B1901" s="57">
        <v>923</v>
      </c>
      <c r="C1901" s="41" t="s">
        <v>11</v>
      </c>
      <c r="D1901" s="41" t="s">
        <v>69</v>
      </c>
      <c r="E1901" s="41" t="s">
        <v>315</v>
      </c>
      <c r="F1901" s="41" t="s">
        <v>333</v>
      </c>
      <c r="G1901" s="11"/>
      <c r="H1901" s="31"/>
      <c r="I1901" s="7">
        <v>25</v>
      </c>
      <c r="J1901" s="7">
        <f>H1901+I1901</f>
        <v>25</v>
      </c>
      <c r="K1901" s="7">
        <v>35</v>
      </c>
      <c r="L1901" s="7">
        <f>J1901+K1901</f>
        <v>60</v>
      </c>
      <c r="M1901" s="7">
        <v>-4.9000000000000004</v>
      </c>
      <c r="N1901" s="7">
        <v>55.1</v>
      </c>
      <c r="O1901" s="7">
        <v>55.1</v>
      </c>
      <c r="P1901" s="349">
        <v>55.1</v>
      </c>
      <c r="Q1901" s="257">
        <v>100</v>
      </c>
    </row>
    <row r="1902" spans="1:17" s="12" customFormat="1">
      <c r="A1902" s="8" t="s">
        <v>362</v>
      </c>
      <c r="B1902" s="57">
        <v>923</v>
      </c>
      <c r="C1902" s="41" t="s">
        <v>11</v>
      </c>
      <c r="D1902" s="41" t="s">
        <v>69</v>
      </c>
      <c r="E1902" s="41" t="s">
        <v>315</v>
      </c>
      <c r="F1902" s="41" t="s">
        <v>334</v>
      </c>
      <c r="G1902" s="11">
        <v>11180</v>
      </c>
      <c r="H1902" s="31">
        <v>11180</v>
      </c>
      <c r="I1902" s="7">
        <f>-314+2500</f>
        <v>2186</v>
      </c>
      <c r="J1902" s="7">
        <f>H1902+I1902</f>
        <v>13366</v>
      </c>
      <c r="K1902" s="7">
        <f>-5500-35</f>
        <v>-5535</v>
      </c>
      <c r="L1902" s="7">
        <f>J1902+K1902</f>
        <v>7831</v>
      </c>
      <c r="M1902" s="7">
        <v>-74.099999999999994</v>
      </c>
      <c r="N1902" s="7">
        <v>7756.9</v>
      </c>
      <c r="O1902" s="7">
        <v>7756.9</v>
      </c>
      <c r="P1902" s="349">
        <v>7756.9</v>
      </c>
      <c r="Q1902" s="257">
        <v>100</v>
      </c>
    </row>
    <row r="1903" spans="1:17" s="30" customFormat="1">
      <c r="A1903" s="26" t="s">
        <v>8</v>
      </c>
      <c r="B1903" s="73">
        <v>923</v>
      </c>
      <c r="C1903" s="27" t="s">
        <v>9</v>
      </c>
      <c r="D1903" s="27"/>
      <c r="E1903" s="27"/>
      <c r="F1903" s="27"/>
      <c r="G1903" s="28">
        <v>0</v>
      </c>
      <c r="H1903" s="28">
        <v>200</v>
      </c>
      <c r="I1903" s="29">
        <f t="shared" ref="I1903:M1905" si="739">I1904</f>
        <v>0</v>
      </c>
      <c r="J1903" s="29">
        <f t="shared" si="739"/>
        <v>200</v>
      </c>
      <c r="K1903" s="29">
        <f t="shared" si="739"/>
        <v>-132.9</v>
      </c>
      <c r="L1903" s="29">
        <f t="shared" si="739"/>
        <v>67.099999999999994</v>
      </c>
      <c r="M1903" s="29">
        <f t="shared" si="739"/>
        <v>0</v>
      </c>
      <c r="N1903" s="29">
        <v>67.099999999999994</v>
      </c>
      <c r="O1903" s="29">
        <v>67.099999999999994</v>
      </c>
      <c r="P1903" s="348">
        <v>67.099999999999994</v>
      </c>
      <c r="Q1903" s="256">
        <v>100</v>
      </c>
    </row>
    <row r="1904" spans="1:17" s="30" customFormat="1" ht="31.5">
      <c r="A1904" s="26" t="s">
        <v>75</v>
      </c>
      <c r="B1904" s="73">
        <v>923</v>
      </c>
      <c r="C1904" s="27" t="s">
        <v>9</v>
      </c>
      <c r="D1904" s="27" t="s">
        <v>31</v>
      </c>
      <c r="E1904" s="27"/>
      <c r="F1904" s="27"/>
      <c r="G1904" s="28">
        <v>0</v>
      </c>
      <c r="H1904" s="28">
        <v>200</v>
      </c>
      <c r="I1904" s="29">
        <f t="shared" si="739"/>
        <v>0</v>
      </c>
      <c r="J1904" s="29">
        <f t="shared" si="739"/>
        <v>200</v>
      </c>
      <c r="K1904" s="29">
        <f t="shared" si="739"/>
        <v>-132.9</v>
      </c>
      <c r="L1904" s="29">
        <f t="shared" si="739"/>
        <v>67.099999999999994</v>
      </c>
      <c r="M1904" s="29">
        <f t="shared" si="739"/>
        <v>0</v>
      </c>
      <c r="N1904" s="29">
        <v>67.099999999999994</v>
      </c>
      <c r="O1904" s="29">
        <v>67.099999999999994</v>
      </c>
      <c r="P1904" s="348">
        <v>67.099999999999994</v>
      </c>
      <c r="Q1904" s="256">
        <v>100</v>
      </c>
    </row>
    <row r="1905" spans="1:17" s="12" customFormat="1">
      <c r="A1905" s="8" t="s">
        <v>343</v>
      </c>
      <c r="B1905" s="57">
        <v>923</v>
      </c>
      <c r="C1905" s="10" t="s">
        <v>9</v>
      </c>
      <c r="D1905" s="10" t="s">
        <v>31</v>
      </c>
      <c r="E1905" s="10" t="s">
        <v>342</v>
      </c>
      <c r="F1905" s="10"/>
      <c r="G1905" s="11">
        <v>0</v>
      </c>
      <c r="H1905" s="11">
        <v>200</v>
      </c>
      <c r="I1905" s="7">
        <f t="shared" si="739"/>
        <v>0</v>
      </c>
      <c r="J1905" s="7">
        <f t="shared" si="739"/>
        <v>200</v>
      </c>
      <c r="K1905" s="7">
        <f t="shared" si="739"/>
        <v>-132.9</v>
      </c>
      <c r="L1905" s="7">
        <f t="shared" si="739"/>
        <v>67.099999999999994</v>
      </c>
      <c r="M1905" s="7">
        <f t="shared" si="739"/>
        <v>0</v>
      </c>
      <c r="N1905" s="7">
        <v>67.099999999999994</v>
      </c>
      <c r="O1905" s="7">
        <v>67.099999999999994</v>
      </c>
      <c r="P1905" s="349">
        <v>67.099999999999994</v>
      </c>
      <c r="Q1905" s="257">
        <v>100</v>
      </c>
    </row>
    <row r="1906" spans="1:17" s="12" customFormat="1" ht="31.5">
      <c r="A1906" s="8" t="s">
        <v>471</v>
      </c>
      <c r="B1906" s="57">
        <v>923</v>
      </c>
      <c r="C1906" s="10" t="s">
        <v>9</v>
      </c>
      <c r="D1906" s="10" t="s">
        <v>31</v>
      </c>
      <c r="E1906" s="10" t="s">
        <v>344</v>
      </c>
      <c r="F1906" s="10"/>
      <c r="G1906" s="11">
        <v>0</v>
      </c>
      <c r="H1906" s="11">
        <v>200</v>
      </c>
      <c r="I1906" s="7">
        <f t="shared" ref="I1906:M1906" si="740">I1907+I1908</f>
        <v>0</v>
      </c>
      <c r="J1906" s="7">
        <f t="shared" si="740"/>
        <v>200</v>
      </c>
      <c r="K1906" s="7">
        <f t="shared" si="740"/>
        <v>-132.9</v>
      </c>
      <c r="L1906" s="7">
        <f t="shared" si="740"/>
        <v>67.099999999999994</v>
      </c>
      <c r="M1906" s="7">
        <f t="shared" si="740"/>
        <v>0</v>
      </c>
      <c r="N1906" s="7">
        <v>67.099999999999994</v>
      </c>
      <c r="O1906" s="7">
        <v>67.099999999999994</v>
      </c>
      <c r="P1906" s="349">
        <v>67.099999999999994</v>
      </c>
      <c r="Q1906" s="257">
        <v>100</v>
      </c>
    </row>
    <row r="1907" spans="1:17" s="12" customFormat="1">
      <c r="A1907" s="8" t="s">
        <v>356</v>
      </c>
      <c r="B1907" s="57">
        <v>923</v>
      </c>
      <c r="C1907" s="10" t="s">
        <v>9</v>
      </c>
      <c r="D1907" s="10" t="s">
        <v>31</v>
      </c>
      <c r="E1907" s="10" t="s">
        <v>344</v>
      </c>
      <c r="F1907" s="10" t="s">
        <v>332</v>
      </c>
      <c r="G1907" s="11">
        <v>22</v>
      </c>
      <c r="H1907" s="31">
        <v>122</v>
      </c>
      <c r="I1907" s="7"/>
      <c r="J1907" s="7">
        <f>H1907+I1907</f>
        <v>122</v>
      </c>
      <c r="K1907" s="7">
        <v>-121.5</v>
      </c>
      <c r="L1907" s="7">
        <f>J1907+K1907</f>
        <v>0.5</v>
      </c>
      <c r="M1907" s="7"/>
      <c r="N1907" s="7">
        <v>0.5</v>
      </c>
      <c r="O1907" s="7">
        <v>0.5</v>
      </c>
      <c r="P1907" s="349">
        <v>0.5</v>
      </c>
      <c r="Q1907" s="257">
        <v>100</v>
      </c>
    </row>
    <row r="1908" spans="1:17" s="12" customFormat="1">
      <c r="A1908" s="8" t="s">
        <v>362</v>
      </c>
      <c r="B1908" s="57">
        <v>923</v>
      </c>
      <c r="C1908" s="10" t="s">
        <v>9</v>
      </c>
      <c r="D1908" s="10" t="s">
        <v>31</v>
      </c>
      <c r="E1908" s="10" t="s">
        <v>344</v>
      </c>
      <c r="F1908" s="41" t="s">
        <v>334</v>
      </c>
      <c r="G1908" s="11">
        <v>-22</v>
      </c>
      <c r="H1908" s="31">
        <v>78</v>
      </c>
      <c r="I1908" s="7"/>
      <c r="J1908" s="7">
        <f>H1908+I1908</f>
        <v>78</v>
      </c>
      <c r="K1908" s="7">
        <v>-11.4</v>
      </c>
      <c r="L1908" s="7">
        <f>J1908+K1908</f>
        <v>66.599999999999994</v>
      </c>
      <c r="M1908" s="7"/>
      <c r="N1908" s="7">
        <v>66.599999999999994</v>
      </c>
      <c r="O1908" s="7">
        <v>66.599999999999994</v>
      </c>
      <c r="P1908" s="349">
        <v>66.599999999999994</v>
      </c>
      <c r="Q1908" s="257">
        <v>100</v>
      </c>
    </row>
    <row r="1909" spans="1:17" s="30" customFormat="1">
      <c r="A1909" s="26" t="s">
        <v>49</v>
      </c>
      <c r="B1909" s="73">
        <v>923</v>
      </c>
      <c r="C1909" s="27"/>
      <c r="D1909" s="27"/>
      <c r="E1909" s="27"/>
      <c r="F1909" s="78"/>
      <c r="G1909" s="28">
        <v>7000</v>
      </c>
      <c r="H1909" s="60">
        <v>7000</v>
      </c>
      <c r="I1909" s="29">
        <f t="shared" ref="I1909:M1916" si="741">I1910</f>
        <v>96261.6</v>
      </c>
      <c r="J1909" s="29">
        <f t="shared" si="741"/>
        <v>103261.6</v>
      </c>
      <c r="K1909" s="29">
        <f t="shared" si="741"/>
        <v>5849.1</v>
      </c>
      <c r="L1909" s="29">
        <f t="shared" si="741"/>
        <v>109110.7</v>
      </c>
      <c r="M1909" s="29">
        <f t="shared" si="741"/>
        <v>-62770.400000000001</v>
      </c>
      <c r="N1909" s="29">
        <v>46340.3</v>
      </c>
      <c r="O1909" s="29">
        <v>43522.1</v>
      </c>
      <c r="P1909" s="348">
        <v>43388.3</v>
      </c>
      <c r="Q1909" s="256">
        <v>99.69</v>
      </c>
    </row>
    <row r="1910" spans="1:17" s="30" customFormat="1">
      <c r="A1910" s="26" t="s">
        <v>100</v>
      </c>
      <c r="B1910" s="73">
        <v>923</v>
      </c>
      <c r="C1910" s="78" t="s">
        <v>11</v>
      </c>
      <c r="D1910" s="78"/>
      <c r="E1910" s="78"/>
      <c r="F1910" s="78"/>
      <c r="G1910" s="28">
        <v>7000</v>
      </c>
      <c r="H1910" s="60">
        <v>7000</v>
      </c>
      <c r="I1910" s="29">
        <f t="shared" si="741"/>
        <v>96261.6</v>
      </c>
      <c r="J1910" s="29">
        <f t="shared" si="741"/>
        <v>103261.6</v>
      </c>
      <c r="K1910" s="29">
        <f t="shared" si="741"/>
        <v>5849.1</v>
      </c>
      <c r="L1910" s="29">
        <f t="shared" si="741"/>
        <v>109110.7</v>
      </c>
      <c r="M1910" s="29">
        <f t="shared" si="741"/>
        <v>-62770.400000000001</v>
      </c>
      <c r="N1910" s="29">
        <v>46340.3</v>
      </c>
      <c r="O1910" s="29">
        <v>43522.1</v>
      </c>
      <c r="P1910" s="348">
        <v>43388.3</v>
      </c>
      <c r="Q1910" s="256">
        <v>99.69</v>
      </c>
    </row>
    <row r="1911" spans="1:17" s="30" customFormat="1">
      <c r="A1911" s="26" t="s">
        <v>158</v>
      </c>
      <c r="B1911" s="73">
        <v>923</v>
      </c>
      <c r="C1911" s="78" t="s">
        <v>11</v>
      </c>
      <c r="D1911" s="78" t="s">
        <v>69</v>
      </c>
      <c r="E1911" s="78"/>
      <c r="F1911" s="78"/>
      <c r="G1911" s="28">
        <v>7000</v>
      </c>
      <c r="H1911" s="28">
        <v>7000</v>
      </c>
      <c r="I1911" s="29">
        <f t="shared" ref="I1911:M1911" si="742">I1915+I1912</f>
        <v>96261.6</v>
      </c>
      <c r="J1911" s="29">
        <f t="shared" si="742"/>
        <v>103261.6</v>
      </c>
      <c r="K1911" s="29">
        <f t="shared" si="742"/>
        <v>5849.1</v>
      </c>
      <c r="L1911" s="29">
        <f t="shared" si="742"/>
        <v>109110.7</v>
      </c>
      <c r="M1911" s="29">
        <f t="shared" si="742"/>
        <v>-62770.400000000001</v>
      </c>
      <c r="N1911" s="29">
        <v>46340.3</v>
      </c>
      <c r="O1911" s="29">
        <v>43522.1</v>
      </c>
      <c r="P1911" s="348">
        <v>43388.3</v>
      </c>
      <c r="Q1911" s="256">
        <v>99.69</v>
      </c>
    </row>
    <row r="1912" spans="1:17" s="30" customFormat="1">
      <c r="A1912" s="8" t="s">
        <v>830</v>
      </c>
      <c r="B1912" s="57">
        <v>923</v>
      </c>
      <c r="C1912" s="41" t="s">
        <v>11</v>
      </c>
      <c r="D1912" s="41" t="s">
        <v>69</v>
      </c>
      <c r="E1912" s="41" t="s">
        <v>828</v>
      </c>
      <c r="F1912" s="10"/>
      <c r="G1912" s="28"/>
      <c r="H1912" s="11">
        <f t="shared" ref="H1912:M1913" si="743">H1913</f>
        <v>0</v>
      </c>
      <c r="I1912" s="11">
        <f t="shared" si="743"/>
        <v>100261.6</v>
      </c>
      <c r="J1912" s="11">
        <f t="shared" si="743"/>
        <v>100261.6</v>
      </c>
      <c r="K1912" s="11">
        <f t="shared" si="743"/>
        <v>-513.4</v>
      </c>
      <c r="L1912" s="11">
        <f t="shared" si="743"/>
        <v>99748.2</v>
      </c>
      <c r="M1912" s="11">
        <f t="shared" si="743"/>
        <v>-61876</v>
      </c>
      <c r="N1912" s="11">
        <v>37872.199999999997</v>
      </c>
      <c r="O1912" s="52">
        <v>35054</v>
      </c>
      <c r="P1912" s="349">
        <v>34920.199999999997</v>
      </c>
      <c r="Q1912" s="256">
        <v>99.62</v>
      </c>
    </row>
    <row r="1913" spans="1:17" s="30" customFormat="1" ht="47.25">
      <c r="A1913" s="33" t="s">
        <v>831</v>
      </c>
      <c r="B1913" s="57">
        <v>923</v>
      </c>
      <c r="C1913" s="41" t="s">
        <v>11</v>
      </c>
      <c r="D1913" s="41" t="s">
        <v>69</v>
      </c>
      <c r="E1913" s="41" t="s">
        <v>829</v>
      </c>
      <c r="F1913" s="10"/>
      <c r="G1913" s="28"/>
      <c r="H1913" s="11">
        <f t="shared" si="743"/>
        <v>0</v>
      </c>
      <c r="I1913" s="11">
        <f t="shared" si="743"/>
        <v>100261.6</v>
      </c>
      <c r="J1913" s="11">
        <f t="shared" si="743"/>
        <v>100261.6</v>
      </c>
      <c r="K1913" s="11">
        <f t="shared" si="743"/>
        <v>-513.4</v>
      </c>
      <c r="L1913" s="11">
        <f t="shared" si="743"/>
        <v>99748.2</v>
      </c>
      <c r="M1913" s="11">
        <f t="shared" si="743"/>
        <v>-61876</v>
      </c>
      <c r="N1913" s="11">
        <v>37872.199999999997</v>
      </c>
      <c r="O1913" s="52">
        <v>35054</v>
      </c>
      <c r="P1913" s="349">
        <v>34920.199999999997</v>
      </c>
      <c r="Q1913" s="257">
        <v>99.62</v>
      </c>
    </row>
    <row r="1914" spans="1:17" s="30" customFormat="1" ht="47.25">
      <c r="A1914" s="8" t="s">
        <v>438</v>
      </c>
      <c r="B1914" s="57">
        <v>923</v>
      </c>
      <c r="C1914" s="41" t="s">
        <v>11</v>
      </c>
      <c r="D1914" s="41" t="s">
        <v>69</v>
      </c>
      <c r="E1914" s="41" t="s">
        <v>829</v>
      </c>
      <c r="F1914" s="10" t="s">
        <v>385</v>
      </c>
      <c r="G1914" s="28"/>
      <c r="H1914" s="28"/>
      <c r="I1914" s="7">
        <v>100261.6</v>
      </c>
      <c r="J1914" s="7">
        <f>H1914+I1914</f>
        <v>100261.6</v>
      </c>
      <c r="K1914" s="7">
        <f>2000-2513.4</f>
        <v>-513.4</v>
      </c>
      <c r="L1914" s="7">
        <f>J1914+K1914</f>
        <v>99748.2</v>
      </c>
      <c r="M1914" s="7">
        <v>-61876</v>
      </c>
      <c r="N1914" s="7">
        <v>37872.199999999997</v>
      </c>
      <c r="O1914" s="7">
        <v>35054</v>
      </c>
      <c r="P1914" s="349">
        <v>34920.199999999997</v>
      </c>
      <c r="Q1914" s="257">
        <v>99.62</v>
      </c>
    </row>
    <row r="1915" spans="1:17" s="30" customFormat="1">
      <c r="A1915" s="8" t="s">
        <v>17</v>
      </c>
      <c r="B1915" s="57">
        <v>923</v>
      </c>
      <c r="C1915" s="41" t="s">
        <v>11</v>
      </c>
      <c r="D1915" s="41" t="s">
        <v>69</v>
      </c>
      <c r="E1915" s="41" t="s">
        <v>18</v>
      </c>
      <c r="F1915" s="78"/>
      <c r="G1915" s="11">
        <v>7000</v>
      </c>
      <c r="H1915" s="11">
        <v>7000</v>
      </c>
      <c r="I1915" s="7">
        <f t="shared" si="741"/>
        <v>-4000</v>
      </c>
      <c r="J1915" s="7">
        <f t="shared" si="741"/>
        <v>3000</v>
      </c>
      <c r="K1915" s="7">
        <f t="shared" si="741"/>
        <v>6362.5</v>
      </c>
      <c r="L1915" s="7">
        <f t="shared" si="741"/>
        <v>9362.5</v>
      </c>
      <c r="M1915" s="7">
        <f t="shared" si="741"/>
        <v>-894.4</v>
      </c>
      <c r="N1915" s="7">
        <v>8468.1</v>
      </c>
      <c r="O1915" s="7">
        <v>8468.1</v>
      </c>
      <c r="P1915" s="349">
        <v>8468.1</v>
      </c>
      <c r="Q1915" s="257">
        <v>100</v>
      </c>
    </row>
    <row r="1916" spans="1:17" s="12" customFormat="1" ht="31.5">
      <c r="A1916" s="8" t="s">
        <v>675</v>
      </c>
      <c r="B1916" s="57">
        <v>923</v>
      </c>
      <c r="C1916" s="41" t="s">
        <v>11</v>
      </c>
      <c r="D1916" s="41" t="s">
        <v>69</v>
      </c>
      <c r="E1916" s="41" t="s">
        <v>159</v>
      </c>
      <c r="F1916" s="41"/>
      <c r="G1916" s="11">
        <v>7000</v>
      </c>
      <c r="H1916" s="31">
        <v>7000</v>
      </c>
      <c r="I1916" s="7">
        <f t="shared" si="741"/>
        <v>-4000</v>
      </c>
      <c r="J1916" s="7">
        <f t="shared" si="741"/>
        <v>3000</v>
      </c>
      <c r="K1916" s="7">
        <f t="shared" si="741"/>
        <v>6362.5</v>
      </c>
      <c r="L1916" s="7">
        <f t="shared" si="741"/>
        <v>9362.5</v>
      </c>
      <c r="M1916" s="7">
        <f t="shared" si="741"/>
        <v>-894.4</v>
      </c>
      <c r="N1916" s="7">
        <v>8468.1</v>
      </c>
      <c r="O1916" s="7">
        <v>8468.1</v>
      </c>
      <c r="P1916" s="349">
        <v>8468.1</v>
      </c>
      <c r="Q1916" s="257">
        <v>100</v>
      </c>
    </row>
    <row r="1917" spans="1:17" s="12" customFormat="1" ht="47.25">
      <c r="A1917" s="8" t="s">
        <v>438</v>
      </c>
      <c r="B1917" s="57">
        <v>923</v>
      </c>
      <c r="C1917" s="41" t="s">
        <v>11</v>
      </c>
      <c r="D1917" s="41" t="s">
        <v>69</v>
      </c>
      <c r="E1917" s="41" t="s">
        <v>159</v>
      </c>
      <c r="F1917" s="41" t="s">
        <v>385</v>
      </c>
      <c r="G1917" s="11">
        <v>7000</v>
      </c>
      <c r="H1917" s="31">
        <v>7000</v>
      </c>
      <c r="I1917" s="7">
        <v>-4000</v>
      </c>
      <c r="J1917" s="7">
        <f>H1917+I1917</f>
        <v>3000</v>
      </c>
      <c r="K1917" s="7">
        <f>5230.1+238+894.4</f>
        <v>6362.5</v>
      </c>
      <c r="L1917" s="7">
        <f>J1917+K1917</f>
        <v>9362.5</v>
      </c>
      <c r="M1917" s="7">
        <v>-894.4</v>
      </c>
      <c r="N1917" s="7">
        <v>8468.1</v>
      </c>
      <c r="O1917" s="7">
        <v>8468.1</v>
      </c>
      <c r="P1917" s="349">
        <v>8468.1</v>
      </c>
      <c r="Q1917" s="257">
        <v>100</v>
      </c>
    </row>
    <row r="1918" spans="1:17">
      <c r="A1918" s="408" t="s">
        <v>316</v>
      </c>
      <c r="B1918" s="409"/>
      <c r="C1918" s="409"/>
      <c r="D1918" s="409"/>
      <c r="E1918" s="409"/>
      <c r="F1918" s="409"/>
      <c r="G1918" s="28">
        <v>980.4</v>
      </c>
      <c r="H1918" s="28">
        <v>6020</v>
      </c>
      <c r="I1918" s="29">
        <f t="shared" ref="I1918:M1921" si="744">I1919</f>
        <v>0</v>
      </c>
      <c r="J1918" s="29">
        <f t="shared" si="744"/>
        <v>6020</v>
      </c>
      <c r="K1918" s="29">
        <f t="shared" si="744"/>
        <v>0</v>
      </c>
      <c r="L1918" s="29">
        <f t="shared" si="744"/>
        <v>6020</v>
      </c>
      <c r="M1918" s="29">
        <f t="shared" si="744"/>
        <v>0</v>
      </c>
      <c r="N1918" s="29">
        <v>6020</v>
      </c>
      <c r="O1918" s="29">
        <v>6020</v>
      </c>
      <c r="P1918" s="348">
        <v>5993.6</v>
      </c>
      <c r="Q1918" s="256">
        <v>99.56</v>
      </c>
    </row>
    <row r="1919" spans="1:17" s="30" customFormat="1">
      <c r="A1919" s="26" t="s">
        <v>52</v>
      </c>
      <c r="B1919" s="27" t="s">
        <v>518</v>
      </c>
      <c r="C1919" s="27" t="s">
        <v>16</v>
      </c>
      <c r="D1919" s="27"/>
      <c r="E1919" s="27"/>
      <c r="F1919" s="27"/>
      <c r="G1919" s="28">
        <v>980.4</v>
      </c>
      <c r="H1919" s="28">
        <v>6020</v>
      </c>
      <c r="I1919" s="29">
        <f t="shared" si="744"/>
        <v>0</v>
      </c>
      <c r="J1919" s="29">
        <f t="shared" si="744"/>
        <v>6020</v>
      </c>
      <c r="K1919" s="29">
        <f t="shared" si="744"/>
        <v>0</v>
      </c>
      <c r="L1919" s="29">
        <f t="shared" si="744"/>
        <v>6020</v>
      </c>
      <c r="M1919" s="29">
        <f t="shared" si="744"/>
        <v>0</v>
      </c>
      <c r="N1919" s="29">
        <v>6020</v>
      </c>
      <c r="O1919" s="29">
        <v>6020</v>
      </c>
      <c r="P1919" s="348">
        <v>5993.6</v>
      </c>
      <c r="Q1919" s="256">
        <v>99.56</v>
      </c>
    </row>
    <row r="1920" spans="1:17" s="30" customFormat="1">
      <c r="A1920" s="26" t="s">
        <v>53</v>
      </c>
      <c r="B1920" s="27" t="s">
        <v>518</v>
      </c>
      <c r="C1920" s="27" t="s">
        <v>16</v>
      </c>
      <c r="D1920" s="27" t="s">
        <v>54</v>
      </c>
      <c r="E1920" s="27"/>
      <c r="F1920" s="27"/>
      <c r="G1920" s="28">
        <v>980.4</v>
      </c>
      <c r="H1920" s="28">
        <v>6020</v>
      </c>
      <c r="I1920" s="29">
        <f t="shared" si="744"/>
        <v>0</v>
      </c>
      <c r="J1920" s="29">
        <f t="shared" si="744"/>
        <v>6020</v>
      </c>
      <c r="K1920" s="29">
        <f t="shared" si="744"/>
        <v>0</v>
      </c>
      <c r="L1920" s="29">
        <f t="shared" si="744"/>
        <v>6020</v>
      </c>
      <c r="M1920" s="29">
        <f t="shared" si="744"/>
        <v>0</v>
      </c>
      <c r="N1920" s="29">
        <v>6020</v>
      </c>
      <c r="O1920" s="29">
        <v>6020</v>
      </c>
      <c r="P1920" s="348">
        <v>5993.6</v>
      </c>
      <c r="Q1920" s="256">
        <v>99.56</v>
      </c>
    </row>
    <row r="1921" spans="1:17" s="12" customFormat="1" ht="47.25">
      <c r="A1921" s="8" t="s">
        <v>65</v>
      </c>
      <c r="B1921" s="10" t="s">
        <v>518</v>
      </c>
      <c r="C1921" s="10" t="s">
        <v>16</v>
      </c>
      <c r="D1921" s="10" t="s">
        <v>54</v>
      </c>
      <c r="E1921" s="41" t="s">
        <v>41</v>
      </c>
      <c r="F1921" s="10"/>
      <c r="G1921" s="11">
        <v>980.4</v>
      </c>
      <c r="H1921" s="11">
        <v>6020</v>
      </c>
      <c r="I1921" s="7">
        <f t="shared" si="744"/>
        <v>0</v>
      </c>
      <c r="J1921" s="7">
        <f t="shared" si="744"/>
        <v>6020</v>
      </c>
      <c r="K1921" s="7">
        <f t="shared" si="744"/>
        <v>0</v>
      </c>
      <c r="L1921" s="7">
        <f t="shared" si="744"/>
        <v>6020</v>
      </c>
      <c r="M1921" s="7">
        <f t="shared" si="744"/>
        <v>0</v>
      </c>
      <c r="N1921" s="7">
        <v>6020</v>
      </c>
      <c r="O1921" s="7">
        <v>6020</v>
      </c>
      <c r="P1921" s="349">
        <v>5993.6</v>
      </c>
      <c r="Q1921" s="257">
        <v>99.56</v>
      </c>
    </row>
    <row r="1922" spans="1:17" s="12" customFormat="1">
      <c r="A1922" s="8" t="s">
        <v>42</v>
      </c>
      <c r="B1922" s="10" t="s">
        <v>518</v>
      </c>
      <c r="C1922" s="10" t="s">
        <v>16</v>
      </c>
      <c r="D1922" s="10" t="s">
        <v>54</v>
      </c>
      <c r="E1922" s="41" t="s">
        <v>43</v>
      </c>
      <c r="F1922" s="10"/>
      <c r="G1922" s="11">
        <v>980.4</v>
      </c>
      <c r="H1922" s="11">
        <v>6020</v>
      </c>
      <c r="I1922" s="7">
        <f t="shared" ref="I1922:M1922" si="745">I1923+I1924+I1925+I1926+I1927+I1928</f>
        <v>0</v>
      </c>
      <c r="J1922" s="7">
        <f t="shared" si="745"/>
        <v>6020</v>
      </c>
      <c r="K1922" s="7">
        <f t="shared" si="745"/>
        <v>0</v>
      </c>
      <c r="L1922" s="7">
        <f t="shared" si="745"/>
        <v>6020</v>
      </c>
      <c r="M1922" s="7">
        <f t="shared" si="745"/>
        <v>0</v>
      </c>
      <c r="N1922" s="7">
        <v>6020</v>
      </c>
      <c r="O1922" s="7">
        <v>6020</v>
      </c>
      <c r="P1922" s="349">
        <v>5993.6</v>
      </c>
      <c r="Q1922" s="257">
        <v>99.56</v>
      </c>
    </row>
    <row r="1923" spans="1:17" s="12" customFormat="1">
      <c r="A1923" s="8" t="s">
        <v>337</v>
      </c>
      <c r="B1923" s="10" t="s">
        <v>518</v>
      </c>
      <c r="C1923" s="10" t="s">
        <v>16</v>
      </c>
      <c r="D1923" s="10" t="s">
        <v>54</v>
      </c>
      <c r="E1923" s="41" t="s">
        <v>43</v>
      </c>
      <c r="F1923" s="10" t="s">
        <v>331</v>
      </c>
      <c r="G1923" s="11">
        <v>872.6</v>
      </c>
      <c r="H1923" s="31">
        <v>4942.6000000000004</v>
      </c>
      <c r="I1923" s="7"/>
      <c r="J1923" s="7">
        <f t="shared" ref="J1923:J1928" si="746">H1923+I1923</f>
        <v>4942.6000000000004</v>
      </c>
      <c r="K1923" s="7">
        <f>-155-50</f>
        <v>-205</v>
      </c>
      <c r="L1923" s="7">
        <f t="shared" ref="L1923:L1928" si="747">J1923+K1923</f>
        <v>4737.6000000000004</v>
      </c>
      <c r="M1923" s="7"/>
      <c r="N1923" s="7">
        <v>4737.6000000000004</v>
      </c>
      <c r="O1923" s="7">
        <v>4737.6000000000004</v>
      </c>
      <c r="P1923" s="349">
        <v>4712</v>
      </c>
      <c r="Q1923" s="257">
        <v>99.46</v>
      </c>
    </row>
    <row r="1924" spans="1:17" s="12" customFormat="1">
      <c r="A1924" s="8" t="s">
        <v>356</v>
      </c>
      <c r="B1924" s="10" t="s">
        <v>518</v>
      </c>
      <c r="C1924" s="10" t="s">
        <v>16</v>
      </c>
      <c r="D1924" s="10" t="s">
        <v>54</v>
      </c>
      <c r="E1924" s="41" t="s">
        <v>43</v>
      </c>
      <c r="F1924" s="10" t="s">
        <v>332</v>
      </c>
      <c r="G1924" s="11">
        <v>120</v>
      </c>
      <c r="H1924" s="31">
        <v>130</v>
      </c>
      <c r="I1924" s="7"/>
      <c r="J1924" s="7">
        <f t="shared" si="746"/>
        <v>130</v>
      </c>
      <c r="K1924" s="7">
        <v>53.4</v>
      </c>
      <c r="L1924" s="7">
        <f t="shared" si="747"/>
        <v>183.4</v>
      </c>
      <c r="M1924" s="7"/>
      <c r="N1924" s="7">
        <v>183.4</v>
      </c>
      <c r="O1924" s="7">
        <v>183.4</v>
      </c>
      <c r="P1924" s="349">
        <v>183.3</v>
      </c>
      <c r="Q1924" s="257">
        <v>99.95</v>
      </c>
    </row>
    <row r="1925" spans="1:17" s="12" customFormat="1" ht="31.5">
      <c r="A1925" s="8" t="s">
        <v>361</v>
      </c>
      <c r="B1925" s="10" t="s">
        <v>518</v>
      </c>
      <c r="C1925" s="10" t="s">
        <v>16</v>
      </c>
      <c r="D1925" s="10" t="s">
        <v>54</v>
      </c>
      <c r="E1925" s="41" t="s">
        <v>43</v>
      </c>
      <c r="F1925" s="10" t="s">
        <v>333</v>
      </c>
      <c r="G1925" s="11">
        <v>54.2</v>
      </c>
      <c r="H1925" s="31">
        <v>186.2</v>
      </c>
      <c r="I1925" s="7">
        <v>-10</v>
      </c>
      <c r="J1925" s="7">
        <f t="shared" si="746"/>
        <v>176.2</v>
      </c>
      <c r="K1925" s="7">
        <v>24.3</v>
      </c>
      <c r="L1925" s="7">
        <f t="shared" si="747"/>
        <v>200.5</v>
      </c>
      <c r="M1925" s="7"/>
      <c r="N1925" s="7">
        <v>200.5</v>
      </c>
      <c r="O1925" s="7">
        <v>200.5</v>
      </c>
      <c r="P1925" s="349">
        <v>200.4</v>
      </c>
      <c r="Q1925" s="257">
        <v>99.95</v>
      </c>
    </row>
    <row r="1926" spans="1:17" s="12" customFormat="1">
      <c r="A1926" s="8" t="s">
        <v>362</v>
      </c>
      <c r="B1926" s="10" t="s">
        <v>518</v>
      </c>
      <c r="C1926" s="10" t="s">
        <v>16</v>
      </c>
      <c r="D1926" s="10" t="s">
        <v>54</v>
      </c>
      <c r="E1926" s="41" t="s">
        <v>43</v>
      </c>
      <c r="F1926" s="10" t="s">
        <v>334</v>
      </c>
      <c r="G1926" s="11">
        <v>-61.8</v>
      </c>
      <c r="H1926" s="31">
        <v>727.2</v>
      </c>
      <c r="I1926" s="7">
        <v>20</v>
      </c>
      <c r="J1926" s="7">
        <f t="shared" si="746"/>
        <v>747.2</v>
      </c>
      <c r="K1926" s="7">
        <f>101.6+30</f>
        <v>131.6</v>
      </c>
      <c r="L1926" s="7">
        <f t="shared" si="747"/>
        <v>878.8</v>
      </c>
      <c r="M1926" s="7"/>
      <c r="N1926" s="7">
        <v>878.8</v>
      </c>
      <c r="O1926" s="7">
        <v>878.8</v>
      </c>
      <c r="P1926" s="349">
        <v>878.8</v>
      </c>
      <c r="Q1926" s="257">
        <v>100</v>
      </c>
    </row>
    <row r="1927" spans="1:17" s="12" customFormat="1">
      <c r="A1927" s="8" t="s">
        <v>384</v>
      </c>
      <c r="B1927" s="10" t="s">
        <v>518</v>
      </c>
      <c r="C1927" s="10" t="s">
        <v>16</v>
      </c>
      <c r="D1927" s="10" t="s">
        <v>54</v>
      </c>
      <c r="E1927" s="41" t="s">
        <v>43</v>
      </c>
      <c r="F1927" s="10" t="s">
        <v>335</v>
      </c>
      <c r="G1927" s="11">
        <v>-4.5999999999999996</v>
      </c>
      <c r="H1927" s="31">
        <v>24</v>
      </c>
      <c r="I1927" s="7">
        <v>-4</v>
      </c>
      <c r="J1927" s="7">
        <f t="shared" si="746"/>
        <v>20</v>
      </c>
      <c r="K1927" s="7">
        <v>-2.8</v>
      </c>
      <c r="L1927" s="7">
        <f t="shared" si="747"/>
        <v>17.2</v>
      </c>
      <c r="M1927" s="7"/>
      <c r="N1927" s="7">
        <v>17.2</v>
      </c>
      <c r="O1927" s="7">
        <v>17.2</v>
      </c>
      <c r="P1927" s="349">
        <v>16.600000000000001</v>
      </c>
      <c r="Q1927" s="257">
        <v>96.51</v>
      </c>
    </row>
    <row r="1928" spans="1:17" s="12" customFormat="1">
      <c r="A1928" s="8" t="s">
        <v>380</v>
      </c>
      <c r="B1928" s="10" t="s">
        <v>518</v>
      </c>
      <c r="C1928" s="10" t="s">
        <v>16</v>
      </c>
      <c r="D1928" s="10" t="s">
        <v>54</v>
      </c>
      <c r="E1928" s="41" t="s">
        <v>43</v>
      </c>
      <c r="F1928" s="10" t="s">
        <v>336</v>
      </c>
      <c r="G1928" s="11">
        <v>0</v>
      </c>
      <c r="H1928" s="31">
        <v>10</v>
      </c>
      <c r="I1928" s="7">
        <v>-6</v>
      </c>
      <c r="J1928" s="7">
        <f t="shared" si="746"/>
        <v>4</v>
      </c>
      <c r="K1928" s="7">
        <v>-1.5</v>
      </c>
      <c r="L1928" s="7">
        <f t="shared" si="747"/>
        <v>2.5</v>
      </c>
      <c r="M1928" s="7"/>
      <c r="N1928" s="7">
        <v>2.5</v>
      </c>
      <c r="O1928" s="7">
        <v>2.5</v>
      </c>
      <c r="P1928" s="349">
        <v>2.5</v>
      </c>
      <c r="Q1928" s="257">
        <v>100</v>
      </c>
    </row>
    <row r="1929" spans="1:17">
      <c r="A1929" s="410" t="s">
        <v>317</v>
      </c>
      <c r="B1929" s="411"/>
      <c r="C1929" s="411"/>
      <c r="D1929" s="411"/>
      <c r="E1929" s="411"/>
      <c r="F1929" s="411"/>
      <c r="G1929" s="28">
        <v>7286.8</v>
      </c>
      <c r="H1929" s="28">
        <v>16151.3</v>
      </c>
      <c r="I1929" s="29" t="e">
        <f t="shared" ref="I1929:M1929" si="748">I1930+I1946</f>
        <v>#REF!</v>
      </c>
      <c r="J1929" s="29">
        <f t="shared" si="748"/>
        <v>18151.3</v>
      </c>
      <c r="K1929" s="29">
        <f t="shared" si="748"/>
        <v>416.6</v>
      </c>
      <c r="L1929" s="29">
        <f t="shared" si="748"/>
        <v>18567.900000000001</v>
      </c>
      <c r="M1929" s="29">
        <f t="shared" si="748"/>
        <v>0</v>
      </c>
      <c r="N1929" s="29">
        <v>18567.900000000001</v>
      </c>
      <c r="O1929" s="29">
        <v>18567.900000000001</v>
      </c>
      <c r="P1929" s="348">
        <v>15167.9</v>
      </c>
      <c r="Q1929" s="256">
        <v>81.69</v>
      </c>
    </row>
    <row r="1930" spans="1:17" s="30" customFormat="1">
      <c r="A1930" s="26" t="s">
        <v>100</v>
      </c>
      <c r="B1930" s="73">
        <v>925</v>
      </c>
      <c r="C1930" s="27" t="s">
        <v>11</v>
      </c>
      <c r="D1930" s="27"/>
      <c r="E1930" s="27"/>
      <c r="F1930" s="27"/>
      <c r="G1930" s="28">
        <v>4740.6000000000004</v>
      </c>
      <c r="H1930" s="28">
        <v>5618.8</v>
      </c>
      <c r="I1930" s="29">
        <f t="shared" ref="I1930:M1930" si="749">I1931</f>
        <v>2000</v>
      </c>
      <c r="J1930" s="29">
        <f t="shared" si="749"/>
        <v>7618.8</v>
      </c>
      <c r="K1930" s="29">
        <f t="shared" si="749"/>
        <v>146.6</v>
      </c>
      <c r="L1930" s="29">
        <f t="shared" si="749"/>
        <v>7765.4</v>
      </c>
      <c r="M1930" s="29">
        <f t="shared" si="749"/>
        <v>0</v>
      </c>
      <c r="N1930" s="29">
        <v>7765.4</v>
      </c>
      <c r="O1930" s="29">
        <v>7765.4</v>
      </c>
      <c r="P1930" s="348">
        <v>7765.4</v>
      </c>
      <c r="Q1930" s="256">
        <v>100</v>
      </c>
    </row>
    <row r="1931" spans="1:17" s="30" customFormat="1">
      <c r="A1931" s="26" t="s">
        <v>101</v>
      </c>
      <c r="B1931" s="73">
        <v>925</v>
      </c>
      <c r="C1931" s="27" t="s">
        <v>11</v>
      </c>
      <c r="D1931" s="27" t="s">
        <v>31</v>
      </c>
      <c r="E1931" s="27"/>
      <c r="F1931" s="27"/>
      <c r="G1931" s="28">
        <v>4740.6000000000004</v>
      </c>
      <c r="H1931" s="28">
        <v>5618.8</v>
      </c>
      <c r="I1931" s="29">
        <f t="shared" ref="I1931:M1931" si="750">I1932+I1939+I1942</f>
        <v>2000</v>
      </c>
      <c r="J1931" s="29">
        <f t="shared" si="750"/>
        <v>7618.8</v>
      </c>
      <c r="K1931" s="29">
        <f t="shared" si="750"/>
        <v>146.6</v>
      </c>
      <c r="L1931" s="29">
        <f t="shared" si="750"/>
        <v>7765.4</v>
      </c>
      <c r="M1931" s="29">
        <f t="shared" si="750"/>
        <v>0</v>
      </c>
      <c r="N1931" s="29">
        <v>7765.4</v>
      </c>
      <c r="O1931" s="29">
        <v>7765.4</v>
      </c>
      <c r="P1931" s="348">
        <v>7765.4</v>
      </c>
      <c r="Q1931" s="256">
        <v>100</v>
      </c>
    </row>
    <row r="1932" spans="1:17" s="12" customFormat="1" ht="47.25">
      <c r="A1932" s="8" t="s">
        <v>65</v>
      </c>
      <c r="B1932" s="57">
        <v>925</v>
      </c>
      <c r="C1932" s="10" t="s">
        <v>11</v>
      </c>
      <c r="D1932" s="10" t="s">
        <v>31</v>
      </c>
      <c r="E1932" s="10" t="s">
        <v>41</v>
      </c>
      <c r="F1932" s="10"/>
      <c r="G1932" s="11">
        <v>4740.6000000000004</v>
      </c>
      <c r="H1932" s="11">
        <v>5479.6</v>
      </c>
      <c r="I1932" s="7">
        <f t="shared" ref="I1932:M1932" si="751">I1933</f>
        <v>0</v>
      </c>
      <c r="J1932" s="7">
        <f t="shared" si="751"/>
        <v>5479.6</v>
      </c>
      <c r="K1932" s="7">
        <f t="shared" si="751"/>
        <v>346.6</v>
      </c>
      <c r="L1932" s="7">
        <f t="shared" si="751"/>
        <v>5826.2</v>
      </c>
      <c r="M1932" s="7">
        <f t="shared" si="751"/>
        <v>0</v>
      </c>
      <c r="N1932" s="7">
        <v>5826.2</v>
      </c>
      <c r="O1932" s="7">
        <v>5826.2</v>
      </c>
      <c r="P1932" s="349">
        <v>5826.2</v>
      </c>
      <c r="Q1932" s="257">
        <v>100</v>
      </c>
    </row>
    <row r="1933" spans="1:17" s="12" customFormat="1">
      <c r="A1933" s="8" t="s">
        <v>42</v>
      </c>
      <c r="B1933" s="57">
        <v>925</v>
      </c>
      <c r="C1933" s="10" t="s">
        <v>11</v>
      </c>
      <c r="D1933" s="10" t="s">
        <v>31</v>
      </c>
      <c r="E1933" s="10" t="s">
        <v>43</v>
      </c>
      <c r="F1933" s="10"/>
      <c r="G1933" s="11">
        <v>4740.6000000000004</v>
      </c>
      <c r="H1933" s="11">
        <v>5479.6</v>
      </c>
      <c r="I1933" s="7">
        <f t="shared" ref="I1933:M1933" si="752">I1934+I1935+I1936+I1937+I1938</f>
        <v>0</v>
      </c>
      <c r="J1933" s="7">
        <f t="shared" si="752"/>
        <v>5479.6</v>
      </c>
      <c r="K1933" s="7">
        <f t="shared" si="752"/>
        <v>346.6</v>
      </c>
      <c r="L1933" s="7">
        <f t="shared" si="752"/>
        <v>5826.2</v>
      </c>
      <c r="M1933" s="7">
        <f t="shared" si="752"/>
        <v>0</v>
      </c>
      <c r="N1933" s="7">
        <v>5826.2</v>
      </c>
      <c r="O1933" s="7">
        <v>5826.2</v>
      </c>
      <c r="P1933" s="349">
        <v>5826.2</v>
      </c>
      <c r="Q1933" s="257">
        <v>100</v>
      </c>
    </row>
    <row r="1934" spans="1:17" s="12" customFormat="1">
      <c r="A1934" s="8" t="s">
        <v>337</v>
      </c>
      <c r="B1934" s="57">
        <v>925</v>
      </c>
      <c r="C1934" s="10" t="s">
        <v>11</v>
      </c>
      <c r="D1934" s="10" t="s">
        <v>31</v>
      </c>
      <c r="E1934" s="10" t="s">
        <v>43</v>
      </c>
      <c r="F1934" s="10" t="s">
        <v>331</v>
      </c>
      <c r="G1934" s="11">
        <v>3026.1</v>
      </c>
      <c r="H1934" s="31">
        <v>3526.1</v>
      </c>
      <c r="I1934" s="7"/>
      <c r="J1934" s="7">
        <f>H1934+I1934</f>
        <v>3526.1</v>
      </c>
      <c r="K1934" s="7">
        <v>226.6</v>
      </c>
      <c r="L1934" s="7">
        <f>J1934+K1934</f>
        <v>3752.7</v>
      </c>
      <c r="M1934" s="7"/>
      <c r="N1934" s="7">
        <v>3752.7</v>
      </c>
      <c r="O1934" s="7">
        <v>3752.7</v>
      </c>
      <c r="P1934" s="349">
        <v>3752.7</v>
      </c>
      <c r="Q1934" s="257">
        <v>100</v>
      </c>
    </row>
    <row r="1935" spans="1:17" s="12" customFormat="1" ht="31.5">
      <c r="A1935" s="8" t="s">
        <v>361</v>
      </c>
      <c r="B1935" s="57">
        <v>925</v>
      </c>
      <c r="C1935" s="10" t="s">
        <v>11</v>
      </c>
      <c r="D1935" s="10" t="s">
        <v>31</v>
      </c>
      <c r="E1935" s="10" t="s">
        <v>43</v>
      </c>
      <c r="F1935" s="10" t="s">
        <v>333</v>
      </c>
      <c r="G1935" s="11">
        <v>101</v>
      </c>
      <c r="H1935" s="31">
        <v>340</v>
      </c>
      <c r="I1935" s="7">
        <v>40</v>
      </c>
      <c r="J1935" s="7">
        <f>H1935+I1935</f>
        <v>380</v>
      </c>
      <c r="K1935" s="7">
        <v>30</v>
      </c>
      <c r="L1935" s="7">
        <f>J1935+K1935</f>
        <v>410</v>
      </c>
      <c r="M1935" s="7">
        <v>22.4</v>
      </c>
      <c r="N1935" s="7">
        <v>432.4</v>
      </c>
      <c r="O1935" s="7">
        <v>432.4</v>
      </c>
      <c r="P1935" s="349">
        <v>432.4</v>
      </c>
      <c r="Q1935" s="257">
        <v>100</v>
      </c>
    </row>
    <row r="1936" spans="1:17" s="12" customFormat="1">
      <c r="A1936" s="8" t="s">
        <v>362</v>
      </c>
      <c r="B1936" s="57">
        <v>925</v>
      </c>
      <c r="C1936" s="10" t="s">
        <v>11</v>
      </c>
      <c r="D1936" s="10" t="s">
        <v>31</v>
      </c>
      <c r="E1936" s="10" t="s">
        <v>43</v>
      </c>
      <c r="F1936" s="10" t="s">
        <v>334</v>
      </c>
      <c r="G1936" s="11">
        <v>1463.5</v>
      </c>
      <c r="H1936" s="31">
        <v>1463.5</v>
      </c>
      <c r="I1936" s="7">
        <v>-40</v>
      </c>
      <c r="J1936" s="7">
        <f>H1936+I1936</f>
        <v>1423.5</v>
      </c>
      <c r="K1936" s="7">
        <f>-30+70+50</f>
        <v>90</v>
      </c>
      <c r="L1936" s="7">
        <f>J1936+K1936</f>
        <v>1513.5</v>
      </c>
      <c r="M1936" s="7"/>
      <c r="N1936" s="7">
        <v>1513.5</v>
      </c>
      <c r="O1936" s="7">
        <v>1513.5</v>
      </c>
      <c r="P1936" s="349">
        <v>1513.5</v>
      </c>
      <c r="Q1936" s="257">
        <v>100</v>
      </c>
    </row>
    <row r="1937" spans="1:17" s="12" customFormat="1">
      <c r="A1937" s="8" t="s">
        <v>384</v>
      </c>
      <c r="B1937" s="57">
        <v>925</v>
      </c>
      <c r="C1937" s="10" t="s">
        <v>11</v>
      </c>
      <c r="D1937" s="10" t="s">
        <v>31</v>
      </c>
      <c r="E1937" s="10" t="s">
        <v>43</v>
      </c>
      <c r="F1937" s="10" t="s">
        <v>335</v>
      </c>
      <c r="G1937" s="11">
        <v>110</v>
      </c>
      <c r="H1937" s="31">
        <v>110</v>
      </c>
      <c r="I1937" s="7"/>
      <c r="J1937" s="7">
        <f>H1937+I1937</f>
        <v>110</v>
      </c>
      <c r="K1937" s="7"/>
      <c r="L1937" s="7">
        <f>J1937+K1937</f>
        <v>110</v>
      </c>
      <c r="M1937" s="7"/>
      <c r="N1937" s="7">
        <v>110</v>
      </c>
      <c r="O1937" s="7">
        <v>110</v>
      </c>
      <c r="P1937" s="349">
        <v>110</v>
      </c>
      <c r="Q1937" s="257">
        <v>100</v>
      </c>
    </row>
    <row r="1938" spans="1:17" s="12" customFormat="1">
      <c r="A1938" s="8" t="s">
        <v>380</v>
      </c>
      <c r="B1938" s="57">
        <v>925</v>
      </c>
      <c r="C1938" s="10" t="s">
        <v>11</v>
      </c>
      <c r="D1938" s="10" t="s">
        <v>31</v>
      </c>
      <c r="E1938" s="10" t="s">
        <v>43</v>
      </c>
      <c r="F1938" s="10" t="s">
        <v>336</v>
      </c>
      <c r="G1938" s="11">
        <v>40</v>
      </c>
      <c r="H1938" s="31">
        <v>40</v>
      </c>
      <c r="I1938" s="7"/>
      <c r="J1938" s="7">
        <f>H1938+I1938</f>
        <v>40</v>
      </c>
      <c r="K1938" s="7"/>
      <c r="L1938" s="7">
        <f>J1938+K1938</f>
        <v>40</v>
      </c>
      <c r="M1938" s="7">
        <v>-22.4</v>
      </c>
      <c r="N1938" s="7">
        <v>17.600000000000001</v>
      </c>
      <c r="O1938" s="7">
        <v>17.600000000000001</v>
      </c>
      <c r="P1938" s="349">
        <v>17.600000000000001</v>
      </c>
      <c r="Q1938" s="257">
        <v>100</v>
      </c>
    </row>
    <row r="1939" spans="1:17" s="12" customFormat="1">
      <c r="A1939" s="8" t="s">
        <v>595</v>
      </c>
      <c r="B1939" s="57">
        <v>925</v>
      </c>
      <c r="C1939" s="10" t="s">
        <v>11</v>
      </c>
      <c r="D1939" s="10" t="s">
        <v>31</v>
      </c>
      <c r="E1939" s="10" t="s">
        <v>596</v>
      </c>
      <c r="F1939" s="10"/>
      <c r="G1939" s="11">
        <v>0</v>
      </c>
      <c r="H1939" s="31">
        <v>139.19999999999999</v>
      </c>
      <c r="I1939" s="7">
        <f t="shared" ref="I1939:M1940" si="753">I1940</f>
        <v>0</v>
      </c>
      <c r="J1939" s="7">
        <f t="shared" si="753"/>
        <v>139.19999999999999</v>
      </c>
      <c r="K1939" s="7">
        <f t="shared" si="753"/>
        <v>0</v>
      </c>
      <c r="L1939" s="7">
        <f t="shared" si="753"/>
        <v>139.19999999999999</v>
      </c>
      <c r="M1939" s="7">
        <f t="shared" si="753"/>
        <v>0</v>
      </c>
      <c r="N1939" s="7">
        <v>139.19999999999999</v>
      </c>
      <c r="O1939" s="7">
        <v>139.19999999999999</v>
      </c>
      <c r="P1939" s="349">
        <v>139.19999999999999</v>
      </c>
      <c r="Q1939" s="257">
        <v>100</v>
      </c>
    </row>
    <row r="1940" spans="1:17" s="12" customFormat="1" ht="31.5">
      <c r="A1940" s="8" t="s">
        <v>318</v>
      </c>
      <c r="B1940" s="57">
        <v>925</v>
      </c>
      <c r="C1940" s="10" t="s">
        <v>11</v>
      </c>
      <c r="D1940" s="10" t="s">
        <v>31</v>
      </c>
      <c r="E1940" s="10" t="s">
        <v>319</v>
      </c>
      <c r="F1940" s="10"/>
      <c r="G1940" s="11">
        <v>0</v>
      </c>
      <c r="H1940" s="11">
        <v>139.19999999999999</v>
      </c>
      <c r="I1940" s="7">
        <f t="shared" si="753"/>
        <v>0</v>
      </c>
      <c r="J1940" s="7">
        <f t="shared" si="753"/>
        <v>139.19999999999999</v>
      </c>
      <c r="K1940" s="7">
        <f t="shared" si="753"/>
        <v>0</v>
      </c>
      <c r="L1940" s="7">
        <f t="shared" si="753"/>
        <v>139.19999999999999</v>
      </c>
      <c r="M1940" s="7">
        <f t="shared" si="753"/>
        <v>0</v>
      </c>
      <c r="N1940" s="7">
        <v>139.19999999999999</v>
      </c>
      <c r="O1940" s="7">
        <v>139.19999999999999</v>
      </c>
      <c r="P1940" s="349">
        <v>139.19999999999999</v>
      </c>
      <c r="Q1940" s="257">
        <v>100</v>
      </c>
    </row>
    <row r="1941" spans="1:17" s="12" customFormat="1">
      <c r="A1941" s="8" t="s">
        <v>362</v>
      </c>
      <c r="B1941" s="57">
        <v>925</v>
      </c>
      <c r="C1941" s="10" t="s">
        <v>11</v>
      </c>
      <c r="D1941" s="10" t="s">
        <v>31</v>
      </c>
      <c r="E1941" s="10" t="s">
        <v>319</v>
      </c>
      <c r="F1941" s="10" t="s">
        <v>334</v>
      </c>
      <c r="G1941" s="11">
        <v>0</v>
      </c>
      <c r="H1941" s="31">
        <v>139.19999999999999</v>
      </c>
      <c r="I1941" s="7"/>
      <c r="J1941" s="7">
        <f>H1941+I1941</f>
        <v>139.19999999999999</v>
      </c>
      <c r="K1941" s="7"/>
      <c r="L1941" s="7">
        <f>J1941+K1941</f>
        <v>139.19999999999999</v>
      </c>
      <c r="M1941" s="7"/>
      <c r="N1941" s="7">
        <v>139.19999999999999</v>
      </c>
      <c r="O1941" s="7">
        <v>139.19999999999999</v>
      </c>
      <c r="P1941" s="349">
        <v>139.19999999999999</v>
      </c>
      <c r="Q1941" s="257">
        <v>100</v>
      </c>
    </row>
    <row r="1942" spans="1:17" s="12" customFormat="1">
      <c r="A1942" s="8" t="s">
        <v>17</v>
      </c>
      <c r="B1942" s="57">
        <v>925</v>
      </c>
      <c r="C1942" s="10" t="s">
        <v>11</v>
      </c>
      <c r="D1942" s="10" t="s">
        <v>31</v>
      </c>
      <c r="E1942" s="10" t="s">
        <v>18</v>
      </c>
      <c r="F1942" s="10"/>
      <c r="G1942" s="11"/>
      <c r="H1942" s="31">
        <f>H1943</f>
        <v>0</v>
      </c>
      <c r="I1942" s="31">
        <f t="shared" ref="I1942:M1944" si="754">I1943</f>
        <v>2000</v>
      </c>
      <c r="J1942" s="31">
        <f t="shared" si="754"/>
        <v>2000</v>
      </c>
      <c r="K1942" s="31">
        <f t="shared" si="754"/>
        <v>-200</v>
      </c>
      <c r="L1942" s="31">
        <f t="shared" si="754"/>
        <v>1800</v>
      </c>
      <c r="M1942" s="31">
        <f t="shared" si="754"/>
        <v>0</v>
      </c>
      <c r="N1942" s="31">
        <v>1800</v>
      </c>
      <c r="O1942" s="36">
        <v>1800</v>
      </c>
      <c r="P1942" s="350">
        <v>1800</v>
      </c>
      <c r="Q1942" s="257">
        <v>100</v>
      </c>
    </row>
    <row r="1943" spans="1:17" s="12" customFormat="1" ht="31.5">
      <c r="A1943" s="8" t="s">
        <v>103</v>
      </c>
      <c r="B1943" s="57">
        <v>925</v>
      </c>
      <c r="C1943" s="10" t="s">
        <v>11</v>
      </c>
      <c r="D1943" s="10" t="s">
        <v>31</v>
      </c>
      <c r="E1943" s="10" t="s">
        <v>104</v>
      </c>
      <c r="F1943" s="10"/>
      <c r="G1943" s="11"/>
      <c r="H1943" s="31">
        <f>H1944</f>
        <v>0</v>
      </c>
      <c r="I1943" s="31">
        <f t="shared" si="754"/>
        <v>2000</v>
      </c>
      <c r="J1943" s="31">
        <f t="shared" si="754"/>
        <v>2000</v>
      </c>
      <c r="K1943" s="31">
        <f t="shared" si="754"/>
        <v>-200</v>
      </c>
      <c r="L1943" s="31">
        <f t="shared" si="754"/>
        <v>1800</v>
      </c>
      <c r="M1943" s="31">
        <f t="shared" si="754"/>
        <v>0</v>
      </c>
      <c r="N1943" s="31">
        <v>1800</v>
      </c>
      <c r="O1943" s="36">
        <v>1800</v>
      </c>
      <c r="P1943" s="350">
        <v>1800</v>
      </c>
      <c r="Q1943" s="257">
        <v>100</v>
      </c>
    </row>
    <row r="1944" spans="1:17" s="12" customFormat="1">
      <c r="A1944" s="8" t="s">
        <v>134</v>
      </c>
      <c r="B1944" s="57">
        <v>925</v>
      </c>
      <c r="C1944" s="10" t="s">
        <v>11</v>
      </c>
      <c r="D1944" s="10" t="s">
        <v>31</v>
      </c>
      <c r="E1944" s="10" t="s">
        <v>135</v>
      </c>
      <c r="F1944" s="10"/>
      <c r="G1944" s="11"/>
      <c r="H1944" s="31">
        <f>H1945</f>
        <v>0</v>
      </c>
      <c r="I1944" s="31">
        <f t="shared" si="754"/>
        <v>2000</v>
      </c>
      <c r="J1944" s="31">
        <f t="shared" si="754"/>
        <v>2000</v>
      </c>
      <c r="K1944" s="31">
        <f t="shared" si="754"/>
        <v>-200</v>
      </c>
      <c r="L1944" s="31">
        <f t="shared" si="754"/>
        <v>1800</v>
      </c>
      <c r="M1944" s="31">
        <f t="shared" si="754"/>
        <v>0</v>
      </c>
      <c r="N1944" s="31">
        <v>1800</v>
      </c>
      <c r="O1944" s="36">
        <v>1800</v>
      </c>
      <c r="P1944" s="350">
        <v>1800</v>
      </c>
      <c r="Q1944" s="257">
        <v>100</v>
      </c>
    </row>
    <row r="1945" spans="1:17" s="12" customFormat="1">
      <c r="A1945" s="8" t="s">
        <v>362</v>
      </c>
      <c r="B1945" s="57">
        <v>925</v>
      </c>
      <c r="C1945" s="10" t="s">
        <v>11</v>
      </c>
      <c r="D1945" s="10" t="s">
        <v>31</v>
      </c>
      <c r="E1945" s="10" t="s">
        <v>135</v>
      </c>
      <c r="F1945" s="10" t="s">
        <v>334</v>
      </c>
      <c r="G1945" s="11"/>
      <c r="H1945" s="31"/>
      <c r="I1945" s="7">
        <v>2000</v>
      </c>
      <c r="J1945" s="7">
        <f>H1945+I1945</f>
        <v>2000</v>
      </c>
      <c r="K1945" s="7">
        <v>-200</v>
      </c>
      <c r="L1945" s="7">
        <f>J1945+K1945</f>
        <v>1800</v>
      </c>
      <c r="M1945" s="7"/>
      <c r="N1945" s="7">
        <v>1800</v>
      </c>
      <c r="O1945" s="7">
        <v>1800</v>
      </c>
      <c r="P1945" s="349">
        <v>1800</v>
      </c>
      <c r="Q1945" s="257">
        <v>100</v>
      </c>
    </row>
    <row r="1946" spans="1:17" s="30" customFormat="1">
      <c r="A1946" s="26" t="s">
        <v>302</v>
      </c>
      <c r="B1946" s="73">
        <v>925</v>
      </c>
      <c r="C1946" s="27" t="s">
        <v>34</v>
      </c>
      <c r="D1946" s="27"/>
      <c r="E1946" s="27"/>
      <c r="F1946" s="27"/>
      <c r="G1946" s="28">
        <v>2546.1999999999998</v>
      </c>
      <c r="H1946" s="28">
        <v>10532.5</v>
      </c>
      <c r="I1946" s="29" t="e">
        <f t="shared" ref="I1946:M1946" si="755">I1947</f>
        <v>#REF!</v>
      </c>
      <c r="J1946" s="29">
        <f t="shared" si="755"/>
        <v>10532.5</v>
      </c>
      <c r="K1946" s="29">
        <f t="shared" si="755"/>
        <v>270</v>
      </c>
      <c r="L1946" s="29">
        <f t="shared" si="755"/>
        <v>10802.5</v>
      </c>
      <c r="M1946" s="29">
        <f t="shared" si="755"/>
        <v>0</v>
      </c>
      <c r="N1946" s="29">
        <v>10802.5</v>
      </c>
      <c r="O1946" s="29">
        <v>10802.5</v>
      </c>
      <c r="P1946" s="348">
        <v>7402.5</v>
      </c>
      <c r="Q1946" s="256">
        <v>68.53</v>
      </c>
    </row>
    <row r="1947" spans="1:17" s="30" customFormat="1" ht="31.5">
      <c r="A1947" s="26" t="s">
        <v>303</v>
      </c>
      <c r="B1947" s="73">
        <v>925</v>
      </c>
      <c r="C1947" s="27" t="s">
        <v>34</v>
      </c>
      <c r="D1947" s="27" t="s">
        <v>28</v>
      </c>
      <c r="E1947" s="27"/>
      <c r="F1947" s="27"/>
      <c r="G1947" s="28">
        <v>2546.1999999999998</v>
      </c>
      <c r="H1947" s="28">
        <v>10532.5</v>
      </c>
      <c r="I1947" s="29" t="e">
        <f t="shared" ref="I1947:M1947" si="756">I1948+I1951+I1956</f>
        <v>#REF!</v>
      </c>
      <c r="J1947" s="29">
        <f t="shared" si="756"/>
        <v>10532.5</v>
      </c>
      <c r="K1947" s="29">
        <f t="shared" si="756"/>
        <v>270</v>
      </c>
      <c r="L1947" s="29">
        <f t="shared" si="756"/>
        <v>10802.5</v>
      </c>
      <c r="M1947" s="29">
        <f t="shared" si="756"/>
        <v>0</v>
      </c>
      <c r="N1947" s="29">
        <v>10802.5</v>
      </c>
      <c r="O1947" s="29">
        <v>10802.5</v>
      </c>
      <c r="P1947" s="348">
        <v>7402.5</v>
      </c>
      <c r="Q1947" s="256">
        <v>68.53</v>
      </c>
    </row>
    <row r="1948" spans="1:17" s="12" customFormat="1">
      <c r="A1948" s="8" t="s">
        <v>287</v>
      </c>
      <c r="B1948" s="57">
        <v>925</v>
      </c>
      <c r="C1948" s="10" t="s">
        <v>34</v>
      </c>
      <c r="D1948" s="10" t="s">
        <v>28</v>
      </c>
      <c r="E1948" s="10" t="s">
        <v>38</v>
      </c>
      <c r="F1948" s="10"/>
      <c r="G1948" s="11">
        <v>-1583.4</v>
      </c>
      <c r="H1948" s="11">
        <v>6161.9</v>
      </c>
      <c r="I1948" s="7" t="e">
        <f>I1949+#REF!</f>
        <v>#REF!</v>
      </c>
      <c r="J1948" s="7">
        <f t="shared" ref="J1948:M1949" si="757">J1949</f>
        <v>6161.9</v>
      </c>
      <c r="K1948" s="7">
        <f t="shared" si="757"/>
        <v>0</v>
      </c>
      <c r="L1948" s="7">
        <f t="shared" si="757"/>
        <v>6161.9</v>
      </c>
      <c r="M1948" s="7">
        <f t="shared" si="757"/>
        <v>0</v>
      </c>
      <c r="N1948" s="7">
        <v>6161.9</v>
      </c>
      <c r="O1948" s="7">
        <v>6161.9</v>
      </c>
      <c r="P1948" s="349">
        <v>6161.9</v>
      </c>
      <c r="Q1948" s="257">
        <v>100</v>
      </c>
    </row>
    <row r="1949" spans="1:17" s="12" customFormat="1" ht="63">
      <c r="A1949" s="8" t="s">
        <v>555</v>
      </c>
      <c r="B1949" s="57">
        <v>925</v>
      </c>
      <c r="C1949" s="10" t="s">
        <v>34</v>
      </c>
      <c r="D1949" s="10" t="s">
        <v>28</v>
      </c>
      <c r="E1949" s="10" t="s">
        <v>320</v>
      </c>
      <c r="F1949" s="10"/>
      <c r="G1949" s="11">
        <v>-198</v>
      </c>
      <c r="H1949" s="11">
        <v>6161.9</v>
      </c>
      <c r="I1949" s="7">
        <f>I1950</f>
        <v>0</v>
      </c>
      <c r="J1949" s="7">
        <f t="shared" si="757"/>
        <v>6161.9</v>
      </c>
      <c r="K1949" s="7">
        <f t="shared" si="757"/>
        <v>0</v>
      </c>
      <c r="L1949" s="7">
        <f t="shared" si="757"/>
        <v>6161.9</v>
      </c>
      <c r="M1949" s="7">
        <f t="shared" si="757"/>
        <v>0</v>
      </c>
      <c r="N1949" s="7">
        <v>6161.9</v>
      </c>
      <c r="O1949" s="7">
        <v>6161.9</v>
      </c>
      <c r="P1949" s="349">
        <v>6161.9</v>
      </c>
      <c r="Q1949" s="257">
        <v>100</v>
      </c>
    </row>
    <row r="1950" spans="1:17" s="12" customFormat="1">
      <c r="A1950" s="8" t="s">
        <v>337</v>
      </c>
      <c r="B1950" s="57">
        <v>925</v>
      </c>
      <c r="C1950" s="10" t="s">
        <v>34</v>
      </c>
      <c r="D1950" s="10" t="s">
        <v>28</v>
      </c>
      <c r="E1950" s="10" t="s">
        <v>320</v>
      </c>
      <c r="F1950" s="10" t="s">
        <v>331</v>
      </c>
      <c r="G1950" s="11">
        <v>-198</v>
      </c>
      <c r="H1950" s="31">
        <v>6161.9</v>
      </c>
      <c r="I1950" s="7"/>
      <c r="J1950" s="7">
        <f>H1950+I1950</f>
        <v>6161.9</v>
      </c>
      <c r="K1950" s="7"/>
      <c r="L1950" s="7">
        <f>J1950+K1950</f>
        <v>6161.9</v>
      </c>
      <c r="M1950" s="7"/>
      <c r="N1950" s="7">
        <v>6161.9</v>
      </c>
      <c r="O1950" s="7">
        <v>6161.9</v>
      </c>
      <c r="P1950" s="349">
        <v>6161.9</v>
      </c>
      <c r="Q1950" s="257">
        <v>100</v>
      </c>
    </row>
    <row r="1951" spans="1:17" s="12" customFormat="1">
      <c r="A1951" s="8" t="s">
        <v>753</v>
      </c>
      <c r="B1951" s="57">
        <v>925</v>
      </c>
      <c r="C1951" s="10" t="s">
        <v>34</v>
      </c>
      <c r="D1951" s="10" t="s">
        <v>28</v>
      </c>
      <c r="E1951" s="10" t="s">
        <v>598</v>
      </c>
      <c r="F1951" s="10"/>
      <c r="G1951" s="11">
        <v>-10.4</v>
      </c>
      <c r="H1951" s="11">
        <v>230.6</v>
      </c>
      <c r="I1951" s="7">
        <f t="shared" ref="I1951:M1951" si="758">I1952+I1954</f>
        <v>0</v>
      </c>
      <c r="J1951" s="7">
        <f t="shared" si="758"/>
        <v>230.6</v>
      </c>
      <c r="K1951" s="7">
        <f t="shared" si="758"/>
        <v>0</v>
      </c>
      <c r="L1951" s="7">
        <f t="shared" si="758"/>
        <v>230.6</v>
      </c>
      <c r="M1951" s="7">
        <f t="shared" si="758"/>
        <v>0</v>
      </c>
      <c r="N1951" s="7">
        <v>230.6</v>
      </c>
      <c r="O1951" s="7">
        <v>230.6</v>
      </c>
      <c r="P1951" s="349">
        <v>230.6</v>
      </c>
      <c r="Q1951" s="257">
        <v>100</v>
      </c>
    </row>
    <row r="1952" spans="1:17" s="12" customFormat="1">
      <c r="A1952" s="8" t="s">
        <v>597</v>
      </c>
      <c r="B1952" s="57">
        <v>925</v>
      </c>
      <c r="C1952" s="10" t="s">
        <v>34</v>
      </c>
      <c r="D1952" s="10" t="s">
        <v>28</v>
      </c>
      <c r="E1952" s="10" t="s">
        <v>321</v>
      </c>
      <c r="F1952" s="10"/>
      <c r="G1952" s="11">
        <v>-0.3</v>
      </c>
      <c r="H1952" s="11">
        <v>158.19999999999999</v>
      </c>
      <c r="I1952" s="7">
        <f t="shared" ref="I1952:M1952" si="759">I1953</f>
        <v>0</v>
      </c>
      <c r="J1952" s="7">
        <f t="shared" si="759"/>
        <v>158.19999999999999</v>
      </c>
      <c r="K1952" s="7">
        <f t="shared" si="759"/>
        <v>0</v>
      </c>
      <c r="L1952" s="7">
        <f t="shared" si="759"/>
        <v>158.19999999999999</v>
      </c>
      <c r="M1952" s="7">
        <f t="shared" si="759"/>
        <v>0</v>
      </c>
      <c r="N1952" s="7">
        <v>158.19999999999999</v>
      </c>
      <c r="O1952" s="7">
        <v>158.19999999999999</v>
      </c>
      <c r="P1952" s="349">
        <v>158.19999999999999</v>
      </c>
      <c r="Q1952" s="257">
        <v>100</v>
      </c>
    </row>
    <row r="1953" spans="1:17" s="12" customFormat="1" ht="31.5">
      <c r="A1953" s="8" t="s">
        <v>339</v>
      </c>
      <c r="B1953" s="57">
        <v>925</v>
      </c>
      <c r="C1953" s="10" t="s">
        <v>34</v>
      </c>
      <c r="D1953" s="10" t="s">
        <v>28</v>
      </c>
      <c r="E1953" s="10" t="s">
        <v>321</v>
      </c>
      <c r="F1953" s="10" t="s">
        <v>334</v>
      </c>
      <c r="G1953" s="11">
        <v>-0.3</v>
      </c>
      <c r="H1953" s="31">
        <v>158.19999999999999</v>
      </c>
      <c r="I1953" s="7"/>
      <c r="J1953" s="7">
        <f>H1953+I1953</f>
        <v>158.19999999999999</v>
      </c>
      <c r="K1953" s="7"/>
      <c r="L1953" s="7">
        <f>J1953+K1953</f>
        <v>158.19999999999999</v>
      </c>
      <c r="M1953" s="7"/>
      <c r="N1953" s="7">
        <v>158.19999999999999</v>
      </c>
      <c r="O1953" s="7">
        <v>158.19999999999999</v>
      </c>
      <c r="P1953" s="349">
        <v>158.19999999999999</v>
      </c>
      <c r="Q1953" s="257">
        <v>100</v>
      </c>
    </row>
    <row r="1954" spans="1:17" s="12" customFormat="1" ht="47.25">
      <c r="A1954" s="8" t="s">
        <v>757</v>
      </c>
      <c r="B1954" s="57">
        <v>925</v>
      </c>
      <c r="C1954" s="10" t="s">
        <v>34</v>
      </c>
      <c r="D1954" s="10" t="s">
        <v>28</v>
      </c>
      <c r="E1954" s="10" t="s">
        <v>322</v>
      </c>
      <c r="F1954" s="10"/>
      <c r="G1954" s="11">
        <v>-10.1</v>
      </c>
      <c r="H1954" s="31">
        <v>72.400000000000006</v>
      </c>
      <c r="I1954" s="7">
        <f t="shared" ref="I1954:M1954" si="760">I1955</f>
        <v>0</v>
      </c>
      <c r="J1954" s="7">
        <f t="shared" si="760"/>
        <v>72.400000000000006</v>
      </c>
      <c r="K1954" s="7">
        <f t="shared" si="760"/>
        <v>0</v>
      </c>
      <c r="L1954" s="7">
        <f t="shared" si="760"/>
        <v>72.400000000000006</v>
      </c>
      <c r="M1954" s="7">
        <f t="shared" si="760"/>
        <v>0</v>
      </c>
      <c r="N1954" s="7">
        <v>72.400000000000006</v>
      </c>
      <c r="O1954" s="7">
        <v>72.400000000000006</v>
      </c>
      <c r="P1954" s="349">
        <v>72.400000000000006</v>
      </c>
      <c r="Q1954" s="257">
        <v>100</v>
      </c>
    </row>
    <row r="1955" spans="1:17" s="12" customFormat="1">
      <c r="A1955" s="8" t="s">
        <v>362</v>
      </c>
      <c r="B1955" s="57">
        <v>925</v>
      </c>
      <c r="C1955" s="10" t="s">
        <v>34</v>
      </c>
      <c r="D1955" s="10" t="s">
        <v>28</v>
      </c>
      <c r="E1955" s="10" t="s">
        <v>322</v>
      </c>
      <c r="F1955" s="10" t="s">
        <v>334</v>
      </c>
      <c r="G1955" s="11">
        <v>-10.1</v>
      </c>
      <c r="H1955" s="31">
        <v>72.400000000000006</v>
      </c>
      <c r="I1955" s="7"/>
      <c r="J1955" s="7">
        <f>H1955+I1955</f>
        <v>72.400000000000006</v>
      </c>
      <c r="K1955" s="7"/>
      <c r="L1955" s="7">
        <f>J1955+K1955</f>
        <v>72.400000000000006</v>
      </c>
      <c r="M1955" s="7"/>
      <c r="N1955" s="7">
        <v>72.400000000000006</v>
      </c>
      <c r="O1955" s="7">
        <v>72.400000000000006</v>
      </c>
      <c r="P1955" s="349">
        <v>72.400000000000006</v>
      </c>
      <c r="Q1955" s="257">
        <v>100</v>
      </c>
    </row>
    <row r="1956" spans="1:17" s="12" customFormat="1">
      <c r="A1956" s="8" t="s">
        <v>589</v>
      </c>
      <c r="B1956" s="57">
        <v>925</v>
      </c>
      <c r="C1956" s="10" t="s">
        <v>34</v>
      </c>
      <c r="D1956" s="10" t="s">
        <v>28</v>
      </c>
      <c r="E1956" s="10" t="s">
        <v>364</v>
      </c>
      <c r="F1956" s="10"/>
      <c r="G1956" s="11">
        <v>4140</v>
      </c>
      <c r="H1956" s="11">
        <v>4140</v>
      </c>
      <c r="I1956" s="7">
        <f t="shared" ref="I1956:M1956" si="761">I1957</f>
        <v>0</v>
      </c>
      <c r="J1956" s="7">
        <f t="shared" si="761"/>
        <v>4140</v>
      </c>
      <c r="K1956" s="7">
        <f t="shared" si="761"/>
        <v>270</v>
      </c>
      <c r="L1956" s="7">
        <f t="shared" si="761"/>
        <v>4410</v>
      </c>
      <c r="M1956" s="7">
        <f t="shared" si="761"/>
        <v>0</v>
      </c>
      <c r="N1956" s="7">
        <v>4410</v>
      </c>
      <c r="O1956" s="7">
        <v>4410</v>
      </c>
      <c r="P1956" s="349">
        <v>1010</v>
      </c>
      <c r="Q1956" s="257">
        <v>22.9</v>
      </c>
    </row>
    <row r="1957" spans="1:17" s="12" customFormat="1" ht="31.5">
      <c r="A1957" s="8" t="s">
        <v>590</v>
      </c>
      <c r="B1957" s="57">
        <v>925</v>
      </c>
      <c r="C1957" s="10" t="s">
        <v>34</v>
      </c>
      <c r="D1957" s="10" t="s">
        <v>28</v>
      </c>
      <c r="E1957" s="10" t="s">
        <v>591</v>
      </c>
      <c r="F1957" s="10"/>
      <c r="G1957" s="11">
        <v>4140</v>
      </c>
      <c r="H1957" s="11">
        <v>4140</v>
      </c>
      <c r="I1957" s="7">
        <f t="shared" ref="I1957:M1957" si="762">I1959+I1958</f>
        <v>0</v>
      </c>
      <c r="J1957" s="7">
        <f t="shared" si="762"/>
        <v>4140</v>
      </c>
      <c r="K1957" s="7">
        <f t="shared" si="762"/>
        <v>270</v>
      </c>
      <c r="L1957" s="7">
        <f t="shared" si="762"/>
        <v>4410</v>
      </c>
      <c r="M1957" s="7">
        <f t="shared" si="762"/>
        <v>0</v>
      </c>
      <c r="N1957" s="7">
        <v>4410</v>
      </c>
      <c r="O1957" s="7">
        <v>4410</v>
      </c>
      <c r="P1957" s="349">
        <v>1010</v>
      </c>
      <c r="Q1957" s="257">
        <v>22.9</v>
      </c>
    </row>
    <row r="1958" spans="1:17" s="12" customFormat="1" ht="31.5">
      <c r="A1958" s="8" t="s">
        <v>361</v>
      </c>
      <c r="B1958" s="57">
        <v>925</v>
      </c>
      <c r="C1958" s="10" t="s">
        <v>34</v>
      </c>
      <c r="D1958" s="10" t="s">
        <v>28</v>
      </c>
      <c r="E1958" s="10" t="s">
        <v>591</v>
      </c>
      <c r="F1958" s="10" t="s">
        <v>333</v>
      </c>
      <c r="G1958" s="11"/>
      <c r="H1958" s="11"/>
      <c r="I1958" s="7">
        <v>28.5</v>
      </c>
      <c r="J1958" s="7">
        <f>H1958+I1958</f>
        <v>28.5</v>
      </c>
      <c r="K1958" s="7"/>
      <c r="L1958" s="7">
        <f>J1958+K1958</f>
        <v>28.5</v>
      </c>
      <c r="M1958" s="7"/>
      <c r="N1958" s="7">
        <v>28.5</v>
      </c>
      <c r="O1958" s="7">
        <v>28.5</v>
      </c>
      <c r="P1958" s="349">
        <v>28.5</v>
      </c>
      <c r="Q1958" s="257">
        <v>100</v>
      </c>
    </row>
    <row r="1959" spans="1:17" s="12" customFormat="1">
      <c r="A1959" s="8" t="s">
        <v>362</v>
      </c>
      <c r="B1959" s="57">
        <v>925</v>
      </c>
      <c r="C1959" s="10" t="s">
        <v>34</v>
      </c>
      <c r="D1959" s="10" t="s">
        <v>28</v>
      </c>
      <c r="E1959" s="10" t="s">
        <v>591</v>
      </c>
      <c r="F1959" s="10" t="s">
        <v>334</v>
      </c>
      <c r="G1959" s="11">
        <v>4140</v>
      </c>
      <c r="H1959" s="31">
        <v>4140</v>
      </c>
      <c r="I1959" s="7">
        <v>-28.5</v>
      </c>
      <c r="J1959" s="7">
        <f>H1959+I1959</f>
        <v>4111.5</v>
      </c>
      <c r="K1959" s="7">
        <f>70+200</f>
        <v>270</v>
      </c>
      <c r="L1959" s="7">
        <f>J1959+K1959</f>
        <v>4381.5</v>
      </c>
      <c r="M1959" s="7"/>
      <c r="N1959" s="7">
        <v>4381.5</v>
      </c>
      <c r="O1959" s="7">
        <v>4381.5</v>
      </c>
      <c r="P1959" s="349">
        <v>981.5</v>
      </c>
      <c r="Q1959" s="257">
        <v>22.4</v>
      </c>
    </row>
    <row r="1960" spans="1:17" s="30" customFormat="1">
      <c r="A1960" s="26" t="s">
        <v>738</v>
      </c>
      <c r="B1960" s="73"/>
      <c r="C1960" s="27"/>
      <c r="D1960" s="27"/>
      <c r="E1960" s="27"/>
      <c r="F1960" s="27"/>
      <c r="G1960" s="28"/>
      <c r="H1960" s="60"/>
      <c r="I1960" s="29"/>
      <c r="J1960" s="29"/>
      <c r="K1960" s="29"/>
      <c r="L1960" s="29"/>
      <c r="M1960" s="29"/>
      <c r="N1960" s="29"/>
      <c r="O1960" s="29"/>
      <c r="P1960" s="348"/>
      <c r="Q1960" s="256"/>
    </row>
    <row r="1961" spans="1:17" s="12" customFormat="1" ht="16.5" thickBot="1">
      <c r="A1961" s="267" t="s">
        <v>323</v>
      </c>
      <c r="B1961" s="268"/>
      <c r="C1961" s="268" t="s">
        <v>324</v>
      </c>
      <c r="D1961" s="268" t="s">
        <v>324</v>
      </c>
      <c r="E1961" s="268" t="s">
        <v>325</v>
      </c>
      <c r="F1961" s="268" t="s">
        <v>326</v>
      </c>
      <c r="G1961" s="269">
        <v>-462323.1</v>
      </c>
      <c r="H1961" s="270">
        <v>0</v>
      </c>
      <c r="I1961" s="271"/>
      <c r="J1961" s="271"/>
      <c r="K1961" s="271"/>
      <c r="L1961" s="271"/>
      <c r="M1961" s="271"/>
      <c r="N1961" s="271"/>
      <c r="O1961" s="271"/>
      <c r="P1961" s="353"/>
      <c r="Q1961" s="256"/>
    </row>
    <row r="1962" spans="1:17" s="30" customFormat="1" ht="16.5" thickBot="1">
      <c r="A1962" s="259" t="s">
        <v>327</v>
      </c>
      <c r="B1962" s="260"/>
      <c r="C1962" s="261"/>
      <c r="D1962" s="261"/>
      <c r="E1962" s="261"/>
      <c r="F1962" s="261"/>
      <c r="G1962" s="262">
        <v>769800.4</v>
      </c>
      <c r="H1962" s="262">
        <v>10554223.699999999</v>
      </c>
      <c r="I1962" s="263" t="e">
        <f>I10+I259+I365+I616+I630+I801+I887+I1131+I1141+I1197+I1391+I1423+I1460+I1523+I1541+I1563+I1578+I1605+I1690+I1756+I1776+I1822+I1875+I1918+I1929</f>
        <v>#REF!</v>
      </c>
      <c r="J1962" s="263" t="e">
        <f>J10+J259+J365+J616+J630+J801+J887+J1131+J1141+J1197+J1391+J1423+J1460+J1523+J1541+J1563+J1578+J1605+J1690+J1756+J1776+J1822+J1875+J1918+J1929</f>
        <v>#REF!</v>
      </c>
      <c r="K1962" s="263" t="e">
        <f>K10+K259+K365+K616+K630+K801+K887+K1131+K1141+K1197+K1391+K1423+K1460+K1523+K1541+K1563+K1578+K1605+K1690+K1756+K1776+K1822+K1875+K1918+K1929</f>
        <v>#REF!</v>
      </c>
      <c r="L1962" s="263" t="e">
        <f>L10+L259+L365+L616+L630+L801+L887+L1131+L1141+L1197+L1391+L1423+L1460+L1523+L1541+L1563+L1578+L1605+L1690+L1756+L1776+L1822+L1875+L1918+L1929</f>
        <v>#REF!</v>
      </c>
      <c r="M1962" s="263" t="e">
        <f>M10+M259+M365+M616+M630+M801+M887+M1131+M1141+M1197+M1391+M1423+M1460+M1523+M1541+M1563+M1578+M1605+M1690+M1756+M1776+M1822+M1875+M1918+M1929</f>
        <v>#REF!</v>
      </c>
      <c r="N1962" s="264">
        <v>13155667.800000001</v>
      </c>
      <c r="O1962" s="264">
        <v>14693044.300000001</v>
      </c>
      <c r="P1962" s="354">
        <v>13027378.4</v>
      </c>
      <c r="Q1962" s="94">
        <v>88.66</v>
      </c>
    </row>
    <row r="1963" spans="1:17">
      <c r="H1963" s="89"/>
      <c r="J1963" s="19" t="e">
        <f>SUBTOTAL(9,J1780:J1817)</f>
        <v>#REF!</v>
      </c>
    </row>
    <row r="1964" spans="1:17">
      <c r="J1964" s="90"/>
    </row>
    <row r="1965" spans="1:17">
      <c r="H1965" s="91"/>
      <c r="I1965" s="19">
        <v>914275.1</v>
      </c>
      <c r="J1965" s="19">
        <v>11468498.800000001</v>
      </c>
      <c r="K1965" s="25"/>
      <c r="L1965" s="25"/>
    </row>
  </sheetData>
  <mergeCells count="45">
    <mergeCell ref="E1:P1"/>
    <mergeCell ref="E2:Q2"/>
    <mergeCell ref="A4:Q4"/>
    <mergeCell ref="P7:P8"/>
    <mergeCell ref="Q7:Q8"/>
    <mergeCell ref="A6:F6"/>
    <mergeCell ref="G6:H6"/>
    <mergeCell ref="I6:J6"/>
    <mergeCell ref="K6:L6"/>
    <mergeCell ref="K7:K8"/>
    <mergeCell ref="L7:L8"/>
    <mergeCell ref="M7:M8"/>
    <mergeCell ref="N7:N8"/>
    <mergeCell ref="A259:F259"/>
    <mergeCell ref="J7:J8"/>
    <mergeCell ref="A7:A8"/>
    <mergeCell ref="B7:F7"/>
    <mergeCell ref="G7:G8"/>
    <mergeCell ref="H7:H8"/>
    <mergeCell ref="I7:I8"/>
    <mergeCell ref="A10:F10"/>
    <mergeCell ref="A1822:F1822"/>
    <mergeCell ref="A1875:F1875"/>
    <mergeCell ref="A616:F616"/>
    <mergeCell ref="A630:F630"/>
    <mergeCell ref="A801:F801"/>
    <mergeCell ref="A887:F887"/>
    <mergeCell ref="A1131:F1131"/>
    <mergeCell ref="A1776:F1776"/>
    <mergeCell ref="A1918:F1918"/>
    <mergeCell ref="A1929:F1929"/>
    <mergeCell ref="O7:O8"/>
    <mergeCell ref="A1541:F1541"/>
    <mergeCell ref="A1563:F1563"/>
    <mergeCell ref="A1578:F1578"/>
    <mergeCell ref="A1605:F1605"/>
    <mergeCell ref="A1690:F1690"/>
    <mergeCell ref="A1756:F1756"/>
    <mergeCell ref="A1141:F1141"/>
    <mergeCell ref="A1197:F1197"/>
    <mergeCell ref="A1391:F1391"/>
    <mergeCell ref="A1423:F1423"/>
    <mergeCell ref="A1460:F1460"/>
    <mergeCell ref="A1523:F1523"/>
    <mergeCell ref="A365:F365"/>
  </mergeCells>
  <pageMargins left="0.70866141732283472" right="0.70866141732283472" top="0.55118110236220474" bottom="0.55118110236220474" header="0.31496062992125984" footer="0.31496062992125984"/>
  <pageSetup paperSize="9" scale="73" firstPageNumber="102" fitToHeight="90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>
      <selection activeCell="G12" sqref="G12"/>
    </sheetView>
  </sheetViews>
  <sheetFormatPr defaultRowHeight="15.75"/>
  <cols>
    <col min="1" max="1" width="48.5703125" style="293" customWidth="1"/>
    <col min="2" max="2" width="28.42578125" style="289" customWidth="1"/>
    <col min="3" max="3" width="18.28515625" style="292" hidden="1" customWidth="1"/>
    <col min="4" max="4" width="25.42578125" style="292" hidden="1" customWidth="1"/>
    <col min="5" max="5" width="18.5703125" style="292" customWidth="1"/>
    <col min="6" max="7" width="9.140625" style="292"/>
    <col min="8" max="8" width="11.28515625" style="292" bestFit="1" customWidth="1"/>
    <col min="9" max="16384" width="9.140625" style="292"/>
  </cols>
  <sheetData>
    <row r="1" spans="1:8">
      <c r="A1" s="287"/>
      <c r="B1" s="379" t="s">
        <v>1786</v>
      </c>
      <c r="C1" s="379"/>
      <c r="D1" s="379"/>
      <c r="E1" s="379"/>
    </row>
    <row r="2" spans="1:8" ht="50.25" customHeight="1">
      <c r="A2" s="287"/>
      <c r="B2" s="438" t="s">
        <v>1745</v>
      </c>
      <c r="C2" s="438"/>
      <c r="D2" s="438"/>
      <c r="E2" s="438"/>
    </row>
    <row r="3" spans="1:8">
      <c r="A3" s="287"/>
      <c r="B3" s="288"/>
      <c r="C3" s="287"/>
      <c r="D3" s="287"/>
      <c r="E3" s="287"/>
    </row>
    <row r="4" spans="1:8" ht="93.75" customHeight="1">
      <c r="A4" s="439" t="s">
        <v>1794</v>
      </c>
      <c r="B4" s="439"/>
      <c r="C4" s="439"/>
      <c r="D4" s="439"/>
      <c r="E4" s="439"/>
    </row>
    <row r="5" spans="1:8" ht="22.5" customHeight="1">
      <c r="A5" s="312"/>
      <c r="B5" s="312"/>
      <c r="C5" s="312"/>
      <c r="D5" s="312"/>
      <c r="E5" s="312"/>
    </row>
    <row r="6" spans="1:8" ht="16.5" thickBot="1">
      <c r="A6" s="291"/>
      <c r="B6" s="290"/>
      <c r="C6" s="290"/>
      <c r="D6" s="287"/>
      <c r="E6" s="196" t="s">
        <v>752</v>
      </c>
    </row>
    <row r="7" spans="1:8" ht="32.25" thickBot="1">
      <c r="A7" s="294" t="s">
        <v>0</v>
      </c>
      <c r="B7" s="295" t="s">
        <v>1092</v>
      </c>
      <c r="C7" s="296" t="s">
        <v>1787</v>
      </c>
      <c r="D7" s="297" t="s">
        <v>1034</v>
      </c>
      <c r="E7" s="298" t="s">
        <v>1035</v>
      </c>
    </row>
    <row r="8" spans="1:8" ht="16.5" thickBot="1">
      <c r="A8" s="294">
        <v>1</v>
      </c>
      <c r="B8" s="299">
        <v>2</v>
      </c>
      <c r="C8" s="296"/>
      <c r="D8" s="297"/>
      <c r="E8" s="298">
        <v>3</v>
      </c>
    </row>
    <row r="9" spans="1:8" s="361" customFormat="1">
      <c r="A9" s="362" t="s">
        <v>1788</v>
      </c>
      <c r="B9" s="363"/>
      <c r="C9" s="364">
        <f>C10</f>
        <v>754952.9</v>
      </c>
      <c r="D9" s="364">
        <f t="shared" ref="D9:E9" si="0">D10</f>
        <v>0</v>
      </c>
      <c r="E9" s="365">
        <f t="shared" si="0"/>
        <v>-886796.4</v>
      </c>
      <c r="H9" s="376">
        <f>E9-'Источники по адм-м'!F10</f>
        <v>0</v>
      </c>
    </row>
    <row r="10" spans="1:8" s="361" customFormat="1" ht="31.5">
      <c r="A10" s="367" t="s">
        <v>1789</v>
      </c>
      <c r="B10" s="368" t="s">
        <v>1790</v>
      </c>
      <c r="C10" s="369">
        <f>C12+C21+C26+C32</f>
        <v>754952.9</v>
      </c>
      <c r="D10" s="369">
        <f t="shared" ref="D10:E10" si="1">D12+D21+D26+D32</f>
        <v>0</v>
      </c>
      <c r="E10" s="370">
        <f t="shared" si="1"/>
        <v>-886796.4</v>
      </c>
      <c r="H10" s="377">
        <f>'Доходы по кодам'!G9-'Функциональная '!F109</f>
        <v>886796.4</v>
      </c>
    </row>
    <row r="11" spans="1:8">
      <c r="A11" s="303" t="s">
        <v>1097</v>
      </c>
      <c r="B11" s="304"/>
      <c r="C11" s="305"/>
      <c r="D11" s="306"/>
      <c r="E11" s="314"/>
    </row>
    <row r="12" spans="1:8" s="361" customFormat="1" ht="31.5">
      <c r="A12" s="367" t="s">
        <v>1777</v>
      </c>
      <c r="B12" s="368" t="s">
        <v>1797</v>
      </c>
      <c r="C12" s="369">
        <f>C13+C17</f>
        <v>734223.6</v>
      </c>
      <c r="D12" s="369">
        <f t="shared" ref="D12:E12" si="2">D13+D17</f>
        <v>0</v>
      </c>
      <c r="E12" s="370">
        <f t="shared" si="2"/>
        <v>-893394.5</v>
      </c>
    </row>
    <row r="13" spans="1:8">
      <c r="A13" s="300" t="s">
        <v>1778</v>
      </c>
      <c r="B13" s="301" t="s">
        <v>1798</v>
      </c>
      <c r="C13" s="307">
        <f>C14</f>
        <v>-13729444.199999999</v>
      </c>
      <c r="D13" s="307">
        <f t="shared" ref="D13:E15" si="3">D14</f>
        <v>0</v>
      </c>
      <c r="E13" s="313">
        <f t="shared" si="3"/>
        <v>-18500687.399999999</v>
      </c>
    </row>
    <row r="14" spans="1:8" ht="31.5">
      <c r="A14" s="300" t="s">
        <v>1779</v>
      </c>
      <c r="B14" s="301" t="s">
        <v>1799</v>
      </c>
      <c r="C14" s="307">
        <f>C15</f>
        <v>-13729444.199999999</v>
      </c>
      <c r="D14" s="307">
        <f t="shared" si="3"/>
        <v>0</v>
      </c>
      <c r="E14" s="313">
        <f t="shared" si="3"/>
        <v>-18500687.399999999</v>
      </c>
    </row>
    <row r="15" spans="1:8" ht="31.5">
      <c r="A15" s="300" t="s">
        <v>1780</v>
      </c>
      <c r="B15" s="301" t="s">
        <v>1800</v>
      </c>
      <c r="C15" s="307">
        <f>C16</f>
        <v>-13729444.199999999</v>
      </c>
      <c r="D15" s="307">
        <f t="shared" si="3"/>
        <v>0</v>
      </c>
      <c r="E15" s="313">
        <f t="shared" si="3"/>
        <v>-18500687.399999999</v>
      </c>
    </row>
    <row r="16" spans="1:8" ht="47.25">
      <c r="A16" s="300" t="s">
        <v>1781</v>
      </c>
      <c r="B16" s="301" t="s">
        <v>1801</v>
      </c>
      <c r="C16" s="307">
        <v>-13729444.199999999</v>
      </c>
      <c r="D16" s="308"/>
      <c r="E16" s="314">
        <v>-18500687.399999999</v>
      </c>
    </row>
    <row r="17" spans="1:5">
      <c r="A17" s="300" t="s">
        <v>1782</v>
      </c>
      <c r="B17" s="301" t="s">
        <v>1802</v>
      </c>
      <c r="C17" s="307">
        <f>C18</f>
        <v>14463667.800000001</v>
      </c>
      <c r="D17" s="307">
        <f t="shared" ref="D17:E19" si="4">D18</f>
        <v>0</v>
      </c>
      <c r="E17" s="313">
        <f t="shared" si="4"/>
        <v>17607292.899999999</v>
      </c>
    </row>
    <row r="18" spans="1:5" ht="31.5">
      <c r="A18" s="300" t="s">
        <v>1783</v>
      </c>
      <c r="B18" s="301" t="s">
        <v>1803</v>
      </c>
      <c r="C18" s="307">
        <f>C19</f>
        <v>14463667.800000001</v>
      </c>
      <c r="D18" s="307">
        <f t="shared" si="4"/>
        <v>0</v>
      </c>
      <c r="E18" s="313">
        <f t="shared" si="4"/>
        <v>17607292.899999999</v>
      </c>
    </row>
    <row r="19" spans="1:5" ht="31.5">
      <c r="A19" s="300" t="s">
        <v>1784</v>
      </c>
      <c r="B19" s="301" t="s">
        <v>1804</v>
      </c>
      <c r="C19" s="307">
        <f>C20</f>
        <v>14463667.800000001</v>
      </c>
      <c r="D19" s="307">
        <f t="shared" si="4"/>
        <v>0</v>
      </c>
      <c r="E19" s="313">
        <f t="shared" si="4"/>
        <v>17607292.899999999</v>
      </c>
    </row>
    <row r="20" spans="1:5" ht="47.25">
      <c r="A20" s="300" t="s">
        <v>1785</v>
      </c>
      <c r="B20" s="301" t="s">
        <v>1805</v>
      </c>
      <c r="C20" s="307">
        <v>14463667.800000001</v>
      </c>
      <c r="D20" s="308"/>
      <c r="E20" s="314">
        <v>17607292.899999999</v>
      </c>
    </row>
    <row r="21" spans="1:5" s="361" customFormat="1" ht="31.5">
      <c r="A21" s="367" t="s">
        <v>1755</v>
      </c>
      <c r="B21" s="368" t="s">
        <v>1806</v>
      </c>
      <c r="C21" s="378">
        <f>C22-C24</f>
        <v>-118279.2</v>
      </c>
      <c r="D21" s="378">
        <f t="shared" ref="D21:E21" si="5">D22-D24</f>
        <v>0</v>
      </c>
      <c r="E21" s="370">
        <f t="shared" si="5"/>
        <v>-109000</v>
      </c>
    </row>
    <row r="22" spans="1:5" ht="31.5">
      <c r="A22" s="300" t="s">
        <v>1756</v>
      </c>
      <c r="B22" s="301" t="s">
        <v>1807</v>
      </c>
      <c r="C22" s="307">
        <f>C23</f>
        <v>921720.8</v>
      </c>
      <c r="D22" s="307">
        <f t="shared" ref="D22:E22" si="6">D23</f>
        <v>0</v>
      </c>
      <c r="E22" s="313">
        <f t="shared" si="6"/>
        <v>550000</v>
      </c>
    </row>
    <row r="23" spans="1:5" ht="63">
      <c r="A23" s="300" t="s">
        <v>1758</v>
      </c>
      <c r="B23" s="301" t="s">
        <v>1808</v>
      </c>
      <c r="C23" s="307">
        <v>921720.8</v>
      </c>
      <c r="D23" s="307"/>
      <c r="E23" s="313">
        <v>550000</v>
      </c>
    </row>
    <row r="24" spans="1:5" ht="47.25">
      <c r="A24" s="300" t="s">
        <v>1757</v>
      </c>
      <c r="B24" s="301" t="s">
        <v>1809</v>
      </c>
      <c r="C24" s="307">
        <f>C25</f>
        <v>1040000</v>
      </c>
      <c r="D24" s="307">
        <f t="shared" ref="D24:E24" si="7">D25</f>
        <v>0</v>
      </c>
      <c r="E24" s="313">
        <f t="shared" si="7"/>
        <v>659000</v>
      </c>
    </row>
    <row r="25" spans="1:5" ht="47.25">
      <c r="A25" s="300" t="s">
        <v>1759</v>
      </c>
      <c r="B25" s="301" t="s">
        <v>1810</v>
      </c>
      <c r="C25" s="307">
        <v>1040000</v>
      </c>
      <c r="D25" s="307"/>
      <c r="E25" s="313">
        <v>659000</v>
      </c>
    </row>
    <row r="26" spans="1:5" s="361" customFormat="1" ht="31.5">
      <c r="A26" s="367" t="s">
        <v>1760</v>
      </c>
      <c r="B26" s="368" t="s">
        <v>1811</v>
      </c>
      <c r="C26" s="378">
        <f>C27</f>
        <v>133000</v>
      </c>
      <c r="D26" s="378">
        <f t="shared" ref="D26:E26" si="8">D27</f>
        <v>0</v>
      </c>
      <c r="E26" s="370">
        <f t="shared" si="8"/>
        <v>102000</v>
      </c>
    </row>
    <row r="27" spans="1:5" ht="47.25">
      <c r="A27" s="300" t="s">
        <v>1761</v>
      </c>
      <c r="B27" s="301" t="s">
        <v>1812</v>
      </c>
      <c r="C27" s="307">
        <f>C29-C31</f>
        <v>133000</v>
      </c>
      <c r="D27" s="307">
        <f t="shared" ref="D27:E27" si="9">D29-D31</f>
        <v>0</v>
      </c>
      <c r="E27" s="313">
        <f t="shared" si="9"/>
        <v>102000</v>
      </c>
    </row>
    <row r="28" spans="1:5" ht="47.25">
      <c r="A28" s="300" t="s">
        <v>1762</v>
      </c>
      <c r="B28" s="301" t="s">
        <v>1813</v>
      </c>
      <c r="C28" s="307">
        <f>C29</f>
        <v>381000</v>
      </c>
      <c r="D28" s="307">
        <f t="shared" ref="D28:E28" si="10">D29</f>
        <v>0</v>
      </c>
      <c r="E28" s="313">
        <f t="shared" si="10"/>
        <v>350000</v>
      </c>
    </row>
    <row r="29" spans="1:5" ht="63">
      <c r="A29" s="300" t="s">
        <v>1764</v>
      </c>
      <c r="B29" s="301" t="s">
        <v>1814</v>
      </c>
      <c r="C29" s="307">
        <v>381000</v>
      </c>
      <c r="D29" s="307"/>
      <c r="E29" s="313">
        <v>350000</v>
      </c>
    </row>
    <row r="30" spans="1:5" ht="63">
      <c r="A30" s="300" t="s">
        <v>1763</v>
      </c>
      <c r="B30" s="301" t="s">
        <v>1815</v>
      </c>
      <c r="C30" s="307">
        <f>C31</f>
        <v>248000</v>
      </c>
      <c r="D30" s="307">
        <f t="shared" ref="D30:E30" si="11">D31</f>
        <v>0</v>
      </c>
      <c r="E30" s="313">
        <f t="shared" si="11"/>
        <v>248000</v>
      </c>
    </row>
    <row r="31" spans="1:5" ht="63">
      <c r="A31" s="300" t="s">
        <v>1765</v>
      </c>
      <c r="B31" s="301" t="s">
        <v>1816</v>
      </c>
      <c r="C31" s="307">
        <v>248000</v>
      </c>
      <c r="D31" s="307"/>
      <c r="E31" s="313">
        <v>248000</v>
      </c>
    </row>
    <row r="32" spans="1:5" s="361" customFormat="1" ht="31.5">
      <c r="A32" s="367" t="s">
        <v>1766</v>
      </c>
      <c r="B32" s="368" t="s">
        <v>1791</v>
      </c>
      <c r="C32" s="378">
        <f>C33+C36</f>
        <v>6008.5</v>
      </c>
      <c r="D32" s="378">
        <f t="shared" ref="D32:E32" si="12">D33+D36</f>
        <v>0</v>
      </c>
      <c r="E32" s="370">
        <f t="shared" si="12"/>
        <v>13598.1</v>
      </c>
    </row>
    <row r="33" spans="1:5" ht="47.25">
      <c r="A33" s="300" t="s">
        <v>1767</v>
      </c>
      <c r="B33" s="301" t="s">
        <v>1817</v>
      </c>
      <c r="C33" s="307">
        <f>C34</f>
        <v>1080</v>
      </c>
      <c r="D33" s="307">
        <f t="shared" ref="D33:E34" si="13">D34</f>
        <v>0</v>
      </c>
      <c r="E33" s="313">
        <f t="shared" si="13"/>
        <v>7869</v>
      </c>
    </row>
    <row r="34" spans="1:5" ht="63">
      <c r="A34" s="300" t="s">
        <v>1768</v>
      </c>
      <c r="B34" s="301" t="s">
        <v>1818</v>
      </c>
      <c r="C34" s="307">
        <f>C35</f>
        <v>1080</v>
      </c>
      <c r="D34" s="307">
        <f t="shared" si="13"/>
        <v>0</v>
      </c>
      <c r="E34" s="313">
        <f t="shared" si="13"/>
        <v>7869</v>
      </c>
    </row>
    <row r="35" spans="1:5" ht="63">
      <c r="A35" s="300" t="s">
        <v>1769</v>
      </c>
      <c r="B35" s="301" t="s">
        <v>1819</v>
      </c>
      <c r="C35" s="307">
        <v>1080</v>
      </c>
      <c r="D35" s="307"/>
      <c r="E35" s="313">
        <v>7869</v>
      </c>
    </row>
    <row r="36" spans="1:5" ht="31.5">
      <c r="A36" s="300" t="s">
        <v>1770</v>
      </c>
      <c r="B36" s="301" t="s">
        <v>1820</v>
      </c>
      <c r="C36" s="307">
        <f>C37-C42</f>
        <v>4928.5</v>
      </c>
      <c r="D36" s="307">
        <f t="shared" ref="D36:E36" si="14">D37-D42</f>
        <v>0</v>
      </c>
      <c r="E36" s="313">
        <f t="shared" si="14"/>
        <v>5729.1</v>
      </c>
    </row>
    <row r="37" spans="1:5" ht="47.25">
      <c r="A37" s="300" t="s">
        <v>1772</v>
      </c>
      <c r="B37" s="301" t="s">
        <v>1821</v>
      </c>
      <c r="C37" s="307">
        <f>C38+C40</f>
        <v>24928.5</v>
      </c>
      <c r="D37" s="307">
        <f t="shared" ref="D37:E37" si="15">D38+D40</f>
        <v>0</v>
      </c>
      <c r="E37" s="313">
        <f t="shared" si="15"/>
        <v>25729.1</v>
      </c>
    </row>
    <row r="38" spans="1:5" ht="47.25">
      <c r="A38" s="300" t="s">
        <v>1792</v>
      </c>
      <c r="B38" s="301" t="s">
        <v>1822</v>
      </c>
      <c r="C38" s="307">
        <f>C39</f>
        <v>329.6</v>
      </c>
      <c r="D38" s="307">
        <f t="shared" ref="D38:E38" si="16">D39</f>
        <v>0</v>
      </c>
      <c r="E38" s="313">
        <f t="shared" si="16"/>
        <v>329.6</v>
      </c>
    </row>
    <row r="39" spans="1:5" ht="63">
      <c r="A39" s="300" t="s">
        <v>1773</v>
      </c>
      <c r="B39" s="301" t="s">
        <v>1823</v>
      </c>
      <c r="C39" s="307">
        <v>329.6</v>
      </c>
      <c r="D39" s="307"/>
      <c r="E39" s="313">
        <v>329.6</v>
      </c>
    </row>
    <row r="40" spans="1:5" ht="63">
      <c r="A40" s="300" t="s">
        <v>1793</v>
      </c>
      <c r="B40" s="301" t="s">
        <v>1824</v>
      </c>
      <c r="C40" s="307">
        <f>C41</f>
        <v>24598.9</v>
      </c>
      <c r="D40" s="307">
        <f t="shared" ref="D40:E40" si="17">D41</f>
        <v>0</v>
      </c>
      <c r="E40" s="313">
        <f t="shared" si="17"/>
        <v>25399.5</v>
      </c>
    </row>
    <row r="41" spans="1:5" ht="78.75">
      <c r="A41" s="300" t="s">
        <v>1776</v>
      </c>
      <c r="B41" s="301" t="s">
        <v>1825</v>
      </c>
      <c r="C41" s="307">
        <v>24598.9</v>
      </c>
      <c r="D41" s="307"/>
      <c r="E41" s="313">
        <v>25399.5</v>
      </c>
    </row>
    <row r="42" spans="1:5" ht="31.5">
      <c r="A42" s="300" t="s">
        <v>1771</v>
      </c>
      <c r="B42" s="301" t="s">
        <v>1826</v>
      </c>
      <c r="C42" s="307">
        <f>C43</f>
        <v>20000</v>
      </c>
      <c r="D42" s="307">
        <f t="shared" ref="D42:E43" si="18">D43</f>
        <v>0</v>
      </c>
      <c r="E42" s="313">
        <f t="shared" si="18"/>
        <v>20000</v>
      </c>
    </row>
    <row r="43" spans="1:5" ht="47.25">
      <c r="A43" s="300" t="s">
        <v>1774</v>
      </c>
      <c r="B43" s="301" t="s">
        <v>1827</v>
      </c>
      <c r="C43" s="307">
        <f>C44</f>
        <v>20000</v>
      </c>
      <c r="D43" s="307">
        <f t="shared" si="18"/>
        <v>0</v>
      </c>
      <c r="E43" s="313">
        <f t="shared" si="18"/>
        <v>20000</v>
      </c>
    </row>
    <row r="44" spans="1:5" ht="63.75" thickBot="1">
      <c r="A44" s="309" t="s">
        <v>1775</v>
      </c>
      <c r="B44" s="310" t="s">
        <v>1828</v>
      </c>
      <c r="C44" s="311">
        <v>20000</v>
      </c>
      <c r="D44" s="311"/>
      <c r="E44" s="315">
        <v>20000</v>
      </c>
    </row>
  </sheetData>
  <mergeCells count="3">
    <mergeCell ref="B1:E1"/>
    <mergeCell ref="B2:E2"/>
    <mergeCell ref="A4:E4"/>
  </mergeCells>
  <pageMargins left="0.70866141732283472" right="0.70866141732283472" top="0.55118110236220474" bottom="0.55118110236220474" header="0.31496062992125984" footer="0.31496062992125984"/>
  <pageSetup paperSize="9" scale="93" firstPageNumber="162" fitToHeight="4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>
      <selection activeCell="H10" sqref="H10"/>
    </sheetView>
  </sheetViews>
  <sheetFormatPr defaultRowHeight="15.75"/>
  <cols>
    <col min="1" max="1" width="48.5703125" style="293" customWidth="1"/>
    <col min="2" max="2" width="13.140625" style="293" customWidth="1"/>
    <col min="3" max="3" width="25" style="289" customWidth="1"/>
    <col min="4" max="4" width="18.28515625" style="292" hidden="1" customWidth="1"/>
    <col min="5" max="5" width="25.42578125" style="292" hidden="1" customWidth="1"/>
    <col min="6" max="6" width="21.85546875" style="292" customWidth="1"/>
    <col min="7" max="16384" width="9.140625" style="292"/>
  </cols>
  <sheetData>
    <row r="1" spans="1:8">
      <c r="A1" s="287"/>
      <c r="B1" s="287"/>
      <c r="C1" s="379" t="s">
        <v>1795</v>
      </c>
      <c r="D1" s="379"/>
      <c r="E1" s="379"/>
      <c r="F1" s="379"/>
    </row>
    <row r="2" spans="1:8" ht="50.25" customHeight="1">
      <c r="A2" s="287"/>
      <c r="B2" s="287"/>
      <c r="C2" s="438" t="s">
        <v>1745</v>
      </c>
      <c r="D2" s="438"/>
      <c r="E2" s="438"/>
      <c r="F2" s="438"/>
    </row>
    <row r="3" spans="1:8">
      <c r="A3" s="287"/>
      <c r="B3" s="287"/>
      <c r="C3" s="288"/>
      <c r="D3" s="287"/>
      <c r="E3" s="287"/>
      <c r="F3" s="287"/>
    </row>
    <row r="4" spans="1:8" ht="59.25" customHeight="1">
      <c r="A4" s="440" t="s">
        <v>1796</v>
      </c>
      <c r="B4" s="440"/>
      <c r="C4" s="440"/>
      <c r="D4" s="440"/>
      <c r="E4" s="440"/>
      <c r="F4" s="440"/>
    </row>
    <row r="5" spans="1:8" ht="15.75" customHeight="1">
      <c r="A5" s="312"/>
      <c r="B5" s="312"/>
      <c r="C5" s="312"/>
      <c r="D5" s="312"/>
      <c r="E5" s="312"/>
      <c r="F5" s="312"/>
    </row>
    <row r="6" spans="1:8" ht="16.5" thickBot="1">
      <c r="A6" s="291"/>
      <c r="B6" s="291"/>
      <c r="C6" s="290"/>
      <c r="D6" s="290"/>
      <c r="E6" s="287"/>
      <c r="F6" s="196" t="s">
        <v>752</v>
      </c>
    </row>
    <row r="7" spans="1:8" ht="32.25" thickBot="1">
      <c r="A7" s="443" t="s">
        <v>0</v>
      </c>
      <c r="B7" s="441" t="s">
        <v>1749</v>
      </c>
      <c r="C7" s="442"/>
      <c r="D7" s="318" t="s">
        <v>1787</v>
      </c>
      <c r="E7" s="297" t="s">
        <v>1034</v>
      </c>
      <c r="F7" s="445" t="s">
        <v>1035</v>
      </c>
    </row>
    <row r="8" spans="1:8" ht="64.5" customHeight="1" thickBot="1">
      <c r="A8" s="444"/>
      <c r="B8" s="224" t="s">
        <v>1865</v>
      </c>
      <c r="C8" s="319" t="s">
        <v>1830</v>
      </c>
      <c r="D8" s="318"/>
      <c r="E8" s="297"/>
      <c r="F8" s="446"/>
    </row>
    <row r="9" spans="1:8" ht="16.5" thickBot="1">
      <c r="A9" s="294">
        <v>1</v>
      </c>
      <c r="B9" s="316">
        <v>2</v>
      </c>
      <c r="C9" s="317">
        <v>3</v>
      </c>
      <c r="D9" s="296"/>
      <c r="E9" s="297"/>
      <c r="F9" s="298">
        <v>4</v>
      </c>
    </row>
    <row r="10" spans="1:8" s="361" customFormat="1">
      <c r="A10" s="362" t="s">
        <v>1788</v>
      </c>
      <c r="B10" s="363"/>
      <c r="C10" s="363"/>
      <c r="D10" s="364" t="e">
        <f>D11</f>
        <v>#REF!</v>
      </c>
      <c r="E10" s="364" t="e">
        <f t="shared" ref="E10:F10" si="0">E11</f>
        <v>#REF!</v>
      </c>
      <c r="F10" s="365">
        <f t="shared" si="0"/>
        <v>-886796.4</v>
      </c>
      <c r="H10" s="366"/>
    </row>
    <row r="11" spans="1:8" s="361" customFormat="1" ht="31.5">
      <c r="A11" s="367" t="s">
        <v>1789</v>
      </c>
      <c r="B11" s="368"/>
      <c r="C11" s="368" t="s">
        <v>1831</v>
      </c>
      <c r="D11" s="369" t="e">
        <f>D14+D23+D28+D34</f>
        <v>#REF!</v>
      </c>
      <c r="E11" s="369" t="e">
        <f t="shared" ref="E11" si="1">E14+E23+E28+E34</f>
        <v>#REF!</v>
      </c>
      <c r="F11" s="370">
        <f>F13+F44</f>
        <v>-886796.4</v>
      </c>
    </row>
    <row r="12" spans="1:8">
      <c r="A12" s="303" t="s">
        <v>1097</v>
      </c>
      <c r="B12" s="304"/>
      <c r="C12" s="304"/>
      <c r="D12" s="305"/>
      <c r="E12" s="306"/>
      <c r="F12" s="314"/>
    </row>
    <row r="13" spans="1:8" s="361" customFormat="1">
      <c r="A13" s="355" t="s">
        <v>1341</v>
      </c>
      <c r="B13" s="356">
        <v>906</v>
      </c>
      <c r="C13" s="357"/>
      <c r="D13" s="358"/>
      <c r="E13" s="359"/>
      <c r="F13" s="360">
        <f>F14+F23+F28+F34</f>
        <v>-894665.4</v>
      </c>
    </row>
    <row r="14" spans="1:8" ht="31.5">
      <c r="A14" s="300" t="s">
        <v>1777</v>
      </c>
      <c r="B14" s="301"/>
      <c r="C14" s="301" t="s">
        <v>1832</v>
      </c>
      <c r="D14" s="302">
        <f>D15+D19</f>
        <v>734223.6</v>
      </c>
      <c r="E14" s="302">
        <f t="shared" ref="E14:F14" si="2">E15+E19</f>
        <v>0</v>
      </c>
      <c r="F14" s="313">
        <f t="shared" si="2"/>
        <v>-893394.5</v>
      </c>
    </row>
    <row r="15" spans="1:8">
      <c r="A15" s="300" t="s">
        <v>1778</v>
      </c>
      <c r="B15" s="301"/>
      <c r="C15" s="301" t="s">
        <v>1833</v>
      </c>
      <c r="D15" s="307">
        <f>D16</f>
        <v>-13729444.199999999</v>
      </c>
      <c r="E15" s="307">
        <f t="shared" ref="E15:F17" si="3">E16</f>
        <v>0</v>
      </c>
      <c r="F15" s="313">
        <f t="shared" si="3"/>
        <v>-18500687.399999999</v>
      </c>
    </row>
    <row r="16" spans="1:8" ht="31.5">
      <c r="A16" s="300" t="s">
        <v>1779</v>
      </c>
      <c r="B16" s="301"/>
      <c r="C16" s="301" t="s">
        <v>1834</v>
      </c>
      <c r="D16" s="307">
        <f>D17</f>
        <v>-13729444.199999999</v>
      </c>
      <c r="E16" s="307">
        <f t="shared" si="3"/>
        <v>0</v>
      </c>
      <c r="F16" s="313">
        <f t="shared" si="3"/>
        <v>-18500687.399999999</v>
      </c>
    </row>
    <row r="17" spans="1:6" ht="31.5">
      <c r="A17" s="300" t="s">
        <v>1780</v>
      </c>
      <c r="B17" s="301"/>
      <c r="C17" s="301" t="s">
        <v>1835</v>
      </c>
      <c r="D17" s="307">
        <f>D18</f>
        <v>-13729444.199999999</v>
      </c>
      <c r="E17" s="307">
        <f t="shared" si="3"/>
        <v>0</v>
      </c>
      <c r="F17" s="313">
        <f t="shared" si="3"/>
        <v>-18500687.399999999</v>
      </c>
    </row>
    <row r="18" spans="1:6" ht="47.25">
      <c r="A18" s="300" t="s">
        <v>1781</v>
      </c>
      <c r="B18" s="301"/>
      <c r="C18" s="301" t="s">
        <v>1836</v>
      </c>
      <c r="D18" s="307">
        <v>-13729444.199999999</v>
      </c>
      <c r="E18" s="308"/>
      <c r="F18" s="314">
        <v>-18500687.399999999</v>
      </c>
    </row>
    <row r="19" spans="1:6">
      <c r="A19" s="300" t="s">
        <v>1782</v>
      </c>
      <c r="B19" s="301"/>
      <c r="C19" s="301" t="s">
        <v>1837</v>
      </c>
      <c r="D19" s="307">
        <f>D20</f>
        <v>14463667.800000001</v>
      </c>
      <c r="E19" s="307">
        <f t="shared" ref="E19:F21" si="4">E20</f>
        <v>0</v>
      </c>
      <c r="F19" s="313">
        <f t="shared" si="4"/>
        <v>17607292.899999999</v>
      </c>
    </row>
    <row r="20" spans="1:6" ht="31.5">
      <c r="A20" s="300" t="s">
        <v>1783</v>
      </c>
      <c r="B20" s="301"/>
      <c r="C20" s="301" t="s">
        <v>1838</v>
      </c>
      <c r="D20" s="307">
        <f>D21</f>
        <v>14463667.800000001</v>
      </c>
      <c r="E20" s="307">
        <f t="shared" si="4"/>
        <v>0</v>
      </c>
      <c r="F20" s="313">
        <f t="shared" si="4"/>
        <v>17607292.899999999</v>
      </c>
    </row>
    <row r="21" spans="1:6" ht="31.5">
      <c r="A21" s="300" t="s">
        <v>1784</v>
      </c>
      <c r="B21" s="301"/>
      <c r="C21" s="301" t="s">
        <v>1839</v>
      </c>
      <c r="D21" s="307">
        <f>D22</f>
        <v>14463667.800000001</v>
      </c>
      <c r="E21" s="307">
        <f t="shared" si="4"/>
        <v>0</v>
      </c>
      <c r="F21" s="313">
        <f t="shared" si="4"/>
        <v>17607292.899999999</v>
      </c>
    </row>
    <row r="22" spans="1:6" ht="47.25">
      <c r="A22" s="300" t="s">
        <v>1785</v>
      </c>
      <c r="B22" s="301"/>
      <c r="C22" s="301" t="s">
        <v>1840</v>
      </c>
      <c r="D22" s="307">
        <v>14463667.800000001</v>
      </c>
      <c r="E22" s="308"/>
      <c r="F22" s="314">
        <v>17607292.899999999</v>
      </c>
    </row>
    <row r="23" spans="1:6" ht="31.5">
      <c r="A23" s="300" t="s">
        <v>1755</v>
      </c>
      <c r="B23" s="301"/>
      <c r="C23" s="301" t="s">
        <v>1841</v>
      </c>
      <c r="D23" s="307">
        <f>D24-D26</f>
        <v>-118279.2</v>
      </c>
      <c r="E23" s="307">
        <f t="shared" ref="E23:F23" si="5">E24-E26</f>
        <v>0</v>
      </c>
      <c r="F23" s="313">
        <f t="shared" si="5"/>
        <v>-109000</v>
      </c>
    </row>
    <row r="24" spans="1:6" ht="31.5">
      <c r="A24" s="300" t="s">
        <v>1756</v>
      </c>
      <c r="B24" s="301"/>
      <c r="C24" s="301" t="s">
        <v>1842</v>
      </c>
      <c r="D24" s="307">
        <f>D25</f>
        <v>921720.8</v>
      </c>
      <c r="E24" s="307">
        <f t="shared" ref="E24:F24" si="6">E25</f>
        <v>0</v>
      </c>
      <c r="F24" s="313">
        <f t="shared" si="6"/>
        <v>550000</v>
      </c>
    </row>
    <row r="25" spans="1:6" ht="63">
      <c r="A25" s="300" t="s">
        <v>1758</v>
      </c>
      <c r="B25" s="301"/>
      <c r="C25" s="301" t="s">
        <v>1843</v>
      </c>
      <c r="D25" s="307">
        <v>921720.8</v>
      </c>
      <c r="E25" s="307"/>
      <c r="F25" s="313">
        <v>550000</v>
      </c>
    </row>
    <row r="26" spans="1:6" ht="47.25">
      <c r="A26" s="300" t="s">
        <v>1757</v>
      </c>
      <c r="B26" s="301"/>
      <c r="C26" s="301" t="s">
        <v>1844</v>
      </c>
      <c r="D26" s="307">
        <f>D27</f>
        <v>1040000</v>
      </c>
      <c r="E26" s="307">
        <f t="shared" ref="E26:F26" si="7">E27</f>
        <v>0</v>
      </c>
      <c r="F26" s="313">
        <f t="shared" si="7"/>
        <v>659000</v>
      </c>
    </row>
    <row r="27" spans="1:6" ht="47.25">
      <c r="A27" s="300" t="s">
        <v>1759</v>
      </c>
      <c r="B27" s="301"/>
      <c r="C27" s="301" t="s">
        <v>1845</v>
      </c>
      <c r="D27" s="307">
        <v>1040000</v>
      </c>
      <c r="E27" s="307"/>
      <c r="F27" s="313">
        <v>659000</v>
      </c>
    </row>
    <row r="28" spans="1:6" ht="31.5">
      <c r="A28" s="300" t="s">
        <v>1760</v>
      </c>
      <c r="B28" s="301"/>
      <c r="C28" s="301" t="s">
        <v>1846</v>
      </c>
      <c r="D28" s="307">
        <f>D29</f>
        <v>133000</v>
      </c>
      <c r="E28" s="307">
        <f t="shared" ref="E28:F28" si="8">E29</f>
        <v>0</v>
      </c>
      <c r="F28" s="313">
        <f t="shared" si="8"/>
        <v>102000</v>
      </c>
    </row>
    <row r="29" spans="1:6" ht="47.25">
      <c r="A29" s="300" t="s">
        <v>1761</v>
      </c>
      <c r="B29" s="301"/>
      <c r="C29" s="301" t="s">
        <v>1847</v>
      </c>
      <c r="D29" s="307">
        <f>D31-D33</f>
        <v>133000</v>
      </c>
      <c r="E29" s="307">
        <f t="shared" ref="E29:F29" si="9">E31-E33</f>
        <v>0</v>
      </c>
      <c r="F29" s="313">
        <f t="shared" si="9"/>
        <v>102000</v>
      </c>
    </row>
    <row r="30" spans="1:6" ht="47.25">
      <c r="A30" s="300" t="s">
        <v>1762</v>
      </c>
      <c r="B30" s="301"/>
      <c r="C30" s="301" t="s">
        <v>1848</v>
      </c>
      <c r="D30" s="307">
        <f>D31</f>
        <v>381000</v>
      </c>
      <c r="E30" s="307">
        <f t="shared" ref="E30:F30" si="10">E31</f>
        <v>0</v>
      </c>
      <c r="F30" s="313">
        <f t="shared" si="10"/>
        <v>350000</v>
      </c>
    </row>
    <row r="31" spans="1:6" ht="63">
      <c r="A31" s="300" t="s">
        <v>1764</v>
      </c>
      <c r="B31" s="301"/>
      <c r="C31" s="301" t="s">
        <v>1849</v>
      </c>
      <c r="D31" s="307">
        <v>381000</v>
      </c>
      <c r="E31" s="307"/>
      <c r="F31" s="313">
        <v>350000</v>
      </c>
    </row>
    <row r="32" spans="1:6" ht="63">
      <c r="A32" s="300" t="s">
        <v>1763</v>
      </c>
      <c r="B32" s="301"/>
      <c r="C32" s="301" t="s">
        <v>1850</v>
      </c>
      <c r="D32" s="307">
        <f>D33</f>
        <v>248000</v>
      </c>
      <c r="E32" s="307">
        <f t="shared" ref="E32:F32" si="11">E33</f>
        <v>0</v>
      </c>
      <c r="F32" s="313">
        <f t="shared" si="11"/>
        <v>248000</v>
      </c>
    </row>
    <row r="33" spans="1:6" ht="63">
      <c r="A33" s="300" t="s">
        <v>1765</v>
      </c>
      <c r="B33" s="301"/>
      <c r="C33" s="301" t="s">
        <v>1851</v>
      </c>
      <c r="D33" s="307">
        <v>248000</v>
      </c>
      <c r="E33" s="307"/>
      <c r="F33" s="313">
        <v>248000</v>
      </c>
    </row>
    <row r="34" spans="1:6" ht="31.5">
      <c r="A34" s="300" t="s">
        <v>1766</v>
      </c>
      <c r="B34" s="301"/>
      <c r="C34" s="301" t="s">
        <v>1852</v>
      </c>
      <c r="D34" s="307" t="e">
        <f>#REF!+D35</f>
        <v>#REF!</v>
      </c>
      <c r="E34" s="307" t="e">
        <f>#REF!+E35</f>
        <v>#REF!</v>
      </c>
      <c r="F34" s="313">
        <f>F35</f>
        <v>5729.1</v>
      </c>
    </row>
    <row r="35" spans="1:6" ht="31.5">
      <c r="A35" s="300" t="s">
        <v>1770</v>
      </c>
      <c r="B35" s="301"/>
      <c r="C35" s="301" t="s">
        <v>1853</v>
      </c>
      <c r="D35" s="307">
        <f>D36-D41</f>
        <v>4928.5</v>
      </c>
      <c r="E35" s="307">
        <f t="shared" ref="E35:F35" si="12">E36-E41</f>
        <v>0</v>
      </c>
      <c r="F35" s="313">
        <f t="shared" si="12"/>
        <v>5729.1</v>
      </c>
    </row>
    <row r="36" spans="1:6" ht="47.25">
      <c r="A36" s="300" t="s">
        <v>1772</v>
      </c>
      <c r="B36" s="301"/>
      <c r="C36" s="301" t="s">
        <v>1854</v>
      </c>
      <c r="D36" s="307">
        <f>D37+D39</f>
        <v>24928.5</v>
      </c>
      <c r="E36" s="307">
        <f t="shared" ref="E36:F36" si="13">E37+E39</f>
        <v>0</v>
      </c>
      <c r="F36" s="313">
        <f t="shared" si="13"/>
        <v>25729.1</v>
      </c>
    </row>
    <row r="37" spans="1:6" ht="47.25">
      <c r="A37" s="300" t="s">
        <v>1792</v>
      </c>
      <c r="B37" s="301"/>
      <c r="C37" s="301" t="s">
        <v>1855</v>
      </c>
      <c r="D37" s="307">
        <f>D38</f>
        <v>329.6</v>
      </c>
      <c r="E37" s="307">
        <f t="shared" ref="E37:F37" si="14">E38</f>
        <v>0</v>
      </c>
      <c r="F37" s="313">
        <f t="shared" si="14"/>
        <v>329.6</v>
      </c>
    </row>
    <row r="38" spans="1:6" ht="63">
      <c r="A38" s="300" t="s">
        <v>1773</v>
      </c>
      <c r="B38" s="301"/>
      <c r="C38" s="301" t="s">
        <v>1856</v>
      </c>
      <c r="D38" s="307">
        <v>329.6</v>
      </c>
      <c r="E38" s="307"/>
      <c r="F38" s="313">
        <v>329.6</v>
      </c>
    </row>
    <row r="39" spans="1:6" ht="63">
      <c r="A39" s="300" t="s">
        <v>1793</v>
      </c>
      <c r="B39" s="301"/>
      <c r="C39" s="301" t="s">
        <v>1857</v>
      </c>
      <c r="D39" s="307">
        <f>D40</f>
        <v>24598.9</v>
      </c>
      <c r="E39" s="307">
        <f t="shared" ref="E39:F39" si="15">E40</f>
        <v>0</v>
      </c>
      <c r="F39" s="313">
        <f t="shared" si="15"/>
        <v>25399.5</v>
      </c>
    </row>
    <row r="40" spans="1:6" ht="78.75">
      <c r="A40" s="300" t="s">
        <v>1776</v>
      </c>
      <c r="B40" s="301"/>
      <c r="C40" s="301" t="s">
        <v>1858</v>
      </c>
      <c r="D40" s="307">
        <v>24598.9</v>
      </c>
      <c r="E40" s="307"/>
      <c r="F40" s="313">
        <v>25399.5</v>
      </c>
    </row>
    <row r="41" spans="1:6" ht="31.5">
      <c r="A41" s="300" t="s">
        <v>1771</v>
      </c>
      <c r="B41" s="301"/>
      <c r="C41" s="301" t="s">
        <v>1859</v>
      </c>
      <c r="D41" s="307">
        <f>D42</f>
        <v>20000</v>
      </c>
      <c r="E41" s="307">
        <f t="shared" ref="E41:F42" si="16">E42</f>
        <v>0</v>
      </c>
      <c r="F41" s="313">
        <f t="shared" si="16"/>
        <v>20000</v>
      </c>
    </row>
    <row r="42" spans="1:6" ht="47.25">
      <c r="A42" s="300" t="s">
        <v>1774</v>
      </c>
      <c r="B42" s="301"/>
      <c r="C42" s="301" t="s">
        <v>1860</v>
      </c>
      <c r="D42" s="307">
        <f>D43</f>
        <v>20000</v>
      </c>
      <c r="E42" s="307">
        <f t="shared" si="16"/>
        <v>0</v>
      </c>
      <c r="F42" s="313">
        <f t="shared" si="16"/>
        <v>20000</v>
      </c>
    </row>
    <row r="43" spans="1:6" ht="63">
      <c r="A43" s="300" t="s">
        <v>1775</v>
      </c>
      <c r="B43" s="301"/>
      <c r="C43" s="301" t="s">
        <v>1861</v>
      </c>
      <c r="D43" s="307">
        <v>20000</v>
      </c>
      <c r="E43" s="307"/>
      <c r="F43" s="313">
        <v>20000</v>
      </c>
    </row>
    <row r="44" spans="1:6" s="361" customFormat="1" ht="31.5">
      <c r="A44" s="371" t="s">
        <v>260</v>
      </c>
      <c r="B44" s="372">
        <v>912</v>
      </c>
      <c r="C44" s="373"/>
      <c r="D44" s="374"/>
      <c r="E44" s="374"/>
      <c r="F44" s="375">
        <f>F45</f>
        <v>7869</v>
      </c>
    </row>
    <row r="45" spans="1:6" ht="31.5">
      <c r="A45" s="300" t="s">
        <v>1766</v>
      </c>
      <c r="B45" s="301"/>
      <c r="C45" s="301" t="s">
        <v>1852</v>
      </c>
      <c r="D45" s="307">
        <f>D46+D49</f>
        <v>1080</v>
      </c>
      <c r="E45" s="307">
        <f t="shared" ref="E45" si="17">E46+E49</f>
        <v>0</v>
      </c>
      <c r="F45" s="313">
        <f t="shared" ref="F45" si="18">F46+F49</f>
        <v>7869</v>
      </c>
    </row>
    <row r="46" spans="1:6" ht="47.25">
      <c r="A46" s="300" t="s">
        <v>1767</v>
      </c>
      <c r="B46" s="301"/>
      <c r="C46" s="301" t="s">
        <v>1862</v>
      </c>
      <c r="D46" s="307">
        <f>D47</f>
        <v>1080</v>
      </c>
      <c r="E46" s="307">
        <f t="shared" ref="E46:E47" si="19">E47</f>
        <v>0</v>
      </c>
      <c r="F46" s="313">
        <f t="shared" ref="F46:F47" si="20">F47</f>
        <v>7869</v>
      </c>
    </row>
    <row r="47" spans="1:6" ht="63">
      <c r="A47" s="300" t="s">
        <v>1768</v>
      </c>
      <c r="B47" s="301"/>
      <c r="C47" s="301" t="s">
        <v>1863</v>
      </c>
      <c r="D47" s="307">
        <f>D48</f>
        <v>1080</v>
      </c>
      <c r="E47" s="307">
        <f t="shared" si="19"/>
        <v>0</v>
      </c>
      <c r="F47" s="313">
        <f t="shared" si="20"/>
        <v>7869</v>
      </c>
    </row>
    <row r="48" spans="1:6" ht="63.75" thickBot="1">
      <c r="A48" s="309" t="s">
        <v>1769</v>
      </c>
      <c r="B48" s="310"/>
      <c r="C48" s="310" t="s">
        <v>1864</v>
      </c>
      <c r="D48" s="311">
        <v>1080</v>
      </c>
      <c r="E48" s="311"/>
      <c r="F48" s="315">
        <v>7869</v>
      </c>
    </row>
  </sheetData>
  <mergeCells count="6">
    <mergeCell ref="C1:F1"/>
    <mergeCell ref="C2:F2"/>
    <mergeCell ref="A4:F4"/>
    <mergeCell ref="B7:C7"/>
    <mergeCell ref="A7:A8"/>
    <mergeCell ref="F7:F8"/>
  </mergeCells>
  <pageMargins left="0.70866141732283472" right="0.70866141732283472" top="0.74803149606299213" bottom="0.74803149606299213" header="0.31496062992125984" footer="0.31496062992125984"/>
  <pageSetup paperSize="9" scale="82" firstPageNumber="165" fitToHeight="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Доходы по кодам</vt:lpstr>
      <vt:lpstr>Доходы по адм-м</vt:lpstr>
      <vt:lpstr>Функциональная </vt:lpstr>
      <vt:lpstr>Ведомственная</vt:lpstr>
      <vt:lpstr>Источники по кодам</vt:lpstr>
      <vt:lpstr>Источники по адм-м</vt:lpstr>
      <vt:lpstr>Ведомственная!Заголовки_для_печати</vt:lpstr>
      <vt:lpstr>'Доходы по адм-м'!Заголовки_для_печати</vt:lpstr>
      <vt:lpstr>'Доходы по кодам'!Заголовки_для_печати</vt:lpstr>
      <vt:lpstr>'Источники по адм-м'!Заголовки_для_печати</vt:lpstr>
      <vt:lpstr>'Источники по кодам'!Заголовки_для_печати</vt:lpstr>
      <vt:lpstr>'Функциональная '!Заголовки_для_печати</vt:lpstr>
      <vt:lpstr>'Доходы по адм-м'!Область_печати</vt:lpstr>
      <vt:lpstr>'Доходы по кодам'!Область_печати</vt:lpstr>
      <vt:lpstr>'Источники по адм-м'!Область_печати</vt:lpstr>
      <vt:lpstr>'Источники по кодам'!Область_печати</vt:lpstr>
      <vt:lpstr>'Функциональная 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Martynova</cp:lastModifiedBy>
  <cp:lastPrinted>2014-05-15T11:05:16Z</cp:lastPrinted>
  <dcterms:created xsi:type="dcterms:W3CDTF">2011-09-06T04:56:06Z</dcterms:created>
  <dcterms:modified xsi:type="dcterms:W3CDTF">2014-05-16T09:58:00Z</dcterms:modified>
</cp:coreProperties>
</file>